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firstSheet="1" activeTab="5"/>
  </bookViews>
  <sheets>
    <sheet name="Coal stations OS DATA" sheetId="1" state="hidden" r:id="rId1"/>
    <sheet name="input_compensation (SP)" sheetId="2" r:id="rId2"/>
    <sheet name="Outage Details ER Stations" sheetId="3" state="hidden" r:id="rId3"/>
    <sheet name="Compensation Calculation" sheetId="4" state="hidden" r:id="rId4"/>
    <sheet name="Outage_details_NRPC FORMAT" sheetId="5" state="hidden" r:id="rId5"/>
    <sheet name="Outage_detail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<sst xmlns="http://schemas.openxmlformats.org/spreadsheetml/2006/main" count="456" uniqueCount="246">
  <si>
    <t>-----------------Northern Regional Power Committee-------------------</t>
  </si>
  <si>
    <t>Information to be submitted by CGS and ISGS to the RPC Secretariat by 15th of each month for the previous month</t>
  </si>
  <si>
    <t>Calculation Period</t>
  </si>
  <si>
    <t>from</t>
  </si>
  <si>
    <t>to</t>
  </si>
  <si>
    <t>NTPC Limited</t>
  </si>
  <si>
    <t>IC</t>
  </si>
  <si>
    <t>SHR_N</t>
  </si>
  <si>
    <t>SFC_N</t>
  </si>
  <si>
    <t>CVSF</t>
  </si>
  <si>
    <t>LPPF</t>
  </si>
  <si>
    <t>LPSFi</t>
  </si>
  <si>
    <t>LC_N</t>
  </si>
  <si>
    <t>LPL</t>
  </si>
  <si>
    <t>AUX_N</t>
  </si>
  <si>
    <t>SHR_A</t>
  </si>
  <si>
    <t>SFC_A</t>
  </si>
  <si>
    <t>LC_A</t>
  </si>
  <si>
    <t>AUX_A</t>
  </si>
  <si>
    <t>CVPF</t>
  </si>
  <si>
    <t>Parameters</t>
  </si>
  <si>
    <t>Name of Owner Organisation</t>
  </si>
  <si>
    <t>Station Name</t>
  </si>
  <si>
    <t>From Date</t>
  </si>
  <si>
    <t>From Time</t>
  </si>
  <si>
    <t>To Date</t>
  </si>
  <si>
    <t>To Time</t>
  </si>
  <si>
    <t>Outage Duration</t>
  </si>
  <si>
    <t>Loss in MU</t>
  </si>
  <si>
    <t>stn_code</t>
  </si>
  <si>
    <t>unit_code</t>
  </si>
  <si>
    <t>Station name</t>
  </si>
  <si>
    <t>Remarks</t>
  </si>
  <si>
    <t>Unit Size (MW)</t>
  </si>
  <si>
    <t>Reason (RSD/Others)</t>
  </si>
  <si>
    <t>Start Up Type (Hot/Warm/Cold)</t>
  </si>
  <si>
    <t>Whether Sub-critical/ Supercritical</t>
  </si>
  <si>
    <t>Outage (No.) for the calculation period</t>
  </si>
  <si>
    <t>Eastern Regional Power Committee</t>
  </si>
  <si>
    <t>Farakka-1</t>
  </si>
  <si>
    <t>Kahalgaon-1</t>
  </si>
  <si>
    <t>Talcher Super-1</t>
  </si>
  <si>
    <t>Bongaigaon-1</t>
  </si>
  <si>
    <t>Farakka-3</t>
  </si>
  <si>
    <t>Barh-2</t>
  </si>
  <si>
    <t>BGTPS_1D</t>
  </si>
  <si>
    <t>BSTPS_2D</t>
  </si>
  <si>
    <t>FSTPS_1D</t>
  </si>
  <si>
    <t>FSTPS_3D</t>
  </si>
  <si>
    <t>KHTPS_1D</t>
  </si>
  <si>
    <t>KHTPS_2D</t>
  </si>
  <si>
    <t>TSTPS_1D</t>
  </si>
  <si>
    <t>TTPS_1D</t>
  </si>
  <si>
    <t>kahalgaon-2</t>
  </si>
  <si>
    <t>Talcher-1</t>
  </si>
  <si>
    <t>Plant</t>
  </si>
  <si>
    <t>Unit</t>
  </si>
  <si>
    <t>Reason</t>
  </si>
  <si>
    <t>UNIT01</t>
  </si>
  <si>
    <t>408:00:00</t>
  </si>
  <si>
    <t>UNIT03</t>
  </si>
  <si>
    <t>UNIT04</t>
  </si>
  <si>
    <t>UNIT05</t>
  </si>
  <si>
    <t>PLANNED OUTAGE</t>
  </si>
  <si>
    <t>FORCED OUTAGE</t>
  </si>
  <si>
    <t>ER STATIONS</t>
  </si>
  <si>
    <t>3:51:00</t>
  </si>
  <si>
    <t>76:28:00</t>
  </si>
  <si>
    <t>4:24:00</t>
  </si>
  <si>
    <t>6:46:00</t>
  </si>
  <si>
    <t>3:56:00</t>
  </si>
  <si>
    <t>95:58:00</t>
  </si>
  <si>
    <t>NER STATION</t>
  </si>
  <si>
    <t>Barh STPP-2</t>
  </si>
  <si>
    <t>Farakka STPS-1</t>
  </si>
  <si>
    <t>Kahalgaon STPS-1</t>
  </si>
  <si>
    <t>Bongaigaon TPP-1</t>
  </si>
  <si>
    <t>Station</t>
  </si>
  <si>
    <t xml:space="preserve"> </t>
  </si>
  <si>
    <t>OS</t>
  </si>
  <si>
    <t>REA TOTAL</t>
  </si>
  <si>
    <t>SG RRAS(REA)</t>
  </si>
  <si>
    <t>FIN</t>
  </si>
  <si>
    <t>AUL (SG)</t>
  </si>
  <si>
    <t>COMP</t>
  </si>
  <si>
    <t>%GHR dr(AUL SG)</t>
  </si>
  <si>
    <t>%APC dr(AUL SG)</t>
  </si>
  <si>
    <t>GHR dr(AUL SG)</t>
  </si>
  <si>
    <t>APC dr(AUL SG)</t>
  </si>
  <si>
    <t>AUL (DC)</t>
  </si>
  <si>
    <t>%GHR dr(AUL DC)</t>
  </si>
  <si>
    <t>%APC dr(AUL DC)</t>
  </si>
  <si>
    <t>GHR dr(AUL DC)</t>
  </si>
  <si>
    <t>APC dr(AUL DC)</t>
  </si>
  <si>
    <t>ECRnor</t>
  </si>
  <si>
    <t>ECR act</t>
  </si>
  <si>
    <t>ECR sg/se</t>
  </si>
  <si>
    <t>ECR dc</t>
  </si>
  <si>
    <t>ECR COMP. AUL</t>
  </si>
  <si>
    <t>ECR COMP. ACT</t>
  </si>
  <si>
    <t>ECR TO BE USED</t>
  </si>
  <si>
    <t>Compensation</t>
  </si>
  <si>
    <t>APC</t>
  </si>
  <si>
    <t>GHR</t>
  </si>
  <si>
    <t>Run. Hrs.</t>
  </si>
  <si>
    <t>Outage Hr.</t>
  </si>
  <si>
    <t>SG (MU)</t>
  </si>
  <si>
    <t>MU</t>
  </si>
  <si>
    <t>AG(MU)</t>
  </si>
  <si>
    <t>DC On Bar(MU)</t>
  </si>
  <si>
    <t>DC Res. S/D(MWH)</t>
  </si>
  <si>
    <t>LPPF_Cum</t>
  </si>
  <si>
    <t>CVPF_Cum</t>
  </si>
  <si>
    <t>CVSF_Cum</t>
  </si>
  <si>
    <t>LPSF_Cum</t>
  </si>
  <si>
    <t>APC_Act_Cum</t>
  </si>
  <si>
    <t>GHR_Act_Cum</t>
  </si>
  <si>
    <t>%</t>
  </si>
  <si>
    <t>Y/N</t>
  </si>
  <si>
    <t>Rs.Cr.</t>
  </si>
  <si>
    <t>Farakka-2</t>
  </si>
  <si>
    <t>Kahalgaon-2</t>
  </si>
  <si>
    <t>Barh</t>
  </si>
  <si>
    <t>TTPS</t>
  </si>
  <si>
    <t>Bongaigaon</t>
  </si>
  <si>
    <t>Compensation Period: (15th to 31st May-2017 i.e for 17 days) for Partial Loading as per draft 4th Amendment of IEGC: Coal Stations</t>
  </si>
  <si>
    <t>On bar Hrs</t>
  </si>
  <si>
    <t>ABT Perf</t>
  </si>
  <si>
    <t>On Bar IC (MU) Gross</t>
  </si>
  <si>
    <t>Actual</t>
  </si>
  <si>
    <t>On bar DC MU</t>
  </si>
  <si>
    <t>SG in MU</t>
  </si>
  <si>
    <t>AG MU</t>
  </si>
  <si>
    <t>APC(%)</t>
  </si>
  <si>
    <t>HR (Kcal/Kwh)</t>
  </si>
  <si>
    <t>Beneficiary</t>
  </si>
  <si>
    <t>Compensation In Rs.</t>
  </si>
  <si>
    <t>Rs.</t>
  </si>
  <si>
    <t>FSTPS-1,2</t>
  </si>
  <si>
    <t>BSPHCL</t>
  </si>
  <si>
    <t>Compensation Share 
to billed as per REA %</t>
  </si>
  <si>
    <t>JBVNL</t>
  </si>
  <si>
    <t>DVC</t>
  </si>
  <si>
    <t>WBSEDCL</t>
  </si>
  <si>
    <t>NR</t>
  </si>
  <si>
    <t>Sikkim</t>
  </si>
  <si>
    <t>NBPDCL</t>
  </si>
  <si>
    <t>SBPDCL</t>
  </si>
  <si>
    <t>BSPHCL Bifurcation</t>
  </si>
  <si>
    <t>Gridco</t>
  </si>
  <si>
    <t>NVVN BPDP</t>
  </si>
  <si>
    <t>WR</t>
  </si>
  <si>
    <t>SR</t>
  </si>
  <si>
    <t>NER</t>
  </si>
  <si>
    <t>Unit-1</t>
  </si>
  <si>
    <t>Unit-2</t>
  </si>
  <si>
    <t>Unit-3</t>
  </si>
  <si>
    <t>Unit-4</t>
  </si>
  <si>
    <t>Unit-5</t>
  </si>
  <si>
    <t>Unit-6</t>
  </si>
  <si>
    <t>Unit-7</t>
  </si>
  <si>
    <t>AUX (Norm)</t>
  </si>
  <si>
    <t>GHR (Norm)</t>
  </si>
  <si>
    <t>SG RRAS(REA)/Exch</t>
  </si>
  <si>
    <t>AUX_Act_Cum</t>
  </si>
  <si>
    <t>FSTPS-3</t>
  </si>
  <si>
    <t>KhSTPP-I</t>
  </si>
  <si>
    <t>KhSTPP-II</t>
  </si>
  <si>
    <t>TSTPP</t>
  </si>
  <si>
    <t>Barh STPP</t>
  </si>
  <si>
    <r>
      <t>Installed capacity/MCR</t>
    </r>
    <r>
      <rPr>
        <b/>
        <sz val="10"/>
        <color indexed="8"/>
        <rFont val="Arial"/>
        <family val="2"/>
      </rPr>
      <t xml:space="preserve"> (in MW)</t>
    </r>
  </si>
  <si>
    <r>
      <t xml:space="preserve">Normative SHR or Net SHR as the case may be </t>
    </r>
    <r>
      <rPr>
        <b/>
        <sz val="10"/>
        <color indexed="8"/>
        <rFont val="Arial"/>
        <family val="2"/>
      </rPr>
      <t>(in kCal/kWh)</t>
    </r>
  </si>
  <si>
    <r>
      <t xml:space="preserve">Normative SFC </t>
    </r>
    <r>
      <rPr>
        <b/>
        <sz val="10"/>
        <color indexed="8"/>
        <rFont val="Arial"/>
        <family val="2"/>
      </rPr>
      <t>(in ml/kWh)</t>
    </r>
  </si>
  <si>
    <r>
      <t xml:space="preserve">CVSF </t>
    </r>
    <r>
      <rPr>
        <b/>
        <sz val="10"/>
        <color indexed="8"/>
        <rFont val="Arial"/>
        <family val="2"/>
      </rPr>
      <t>(in kCal/L)</t>
    </r>
  </si>
  <si>
    <r>
      <t xml:space="preserve">LPSFi </t>
    </r>
    <r>
      <rPr>
        <b/>
        <sz val="10"/>
        <color indexed="8"/>
        <rFont val="Arial"/>
        <family val="2"/>
      </rPr>
      <t>(in Rs./Kl)</t>
    </r>
  </si>
  <si>
    <r>
      <t xml:space="preserve">Normative LC </t>
    </r>
    <r>
      <rPr>
        <b/>
        <sz val="10"/>
        <color indexed="8"/>
        <rFont val="Arial"/>
        <family val="2"/>
      </rPr>
      <t>(in kg/kWh)</t>
    </r>
  </si>
  <si>
    <r>
      <t>LPL</t>
    </r>
    <r>
      <rPr>
        <b/>
        <sz val="10"/>
        <color indexed="8"/>
        <rFont val="Arial"/>
        <family val="2"/>
      </rPr>
      <t xml:space="preserve"> (in Rs./kg)</t>
    </r>
  </si>
  <si>
    <r>
      <t xml:space="preserve">Normative Aux. Cons </t>
    </r>
    <r>
      <rPr>
        <b/>
        <sz val="10"/>
        <color indexed="8"/>
        <rFont val="Arial"/>
        <family val="2"/>
      </rPr>
      <t>(in %)</t>
    </r>
  </si>
  <si>
    <r>
      <t xml:space="preserve">Actual SFC </t>
    </r>
    <r>
      <rPr>
        <b/>
        <sz val="10"/>
        <color indexed="8"/>
        <rFont val="Arial"/>
        <family val="2"/>
      </rPr>
      <t>(in ml/kWh)</t>
    </r>
  </si>
  <si>
    <r>
      <t xml:space="preserve">Actual LC </t>
    </r>
    <r>
      <rPr>
        <b/>
        <sz val="10"/>
        <color indexed="8"/>
        <rFont val="Arial"/>
        <family val="2"/>
      </rPr>
      <t>(in kg/kWh)</t>
    </r>
  </si>
  <si>
    <r>
      <t xml:space="preserve">CVPF </t>
    </r>
    <r>
      <rPr>
        <b/>
        <sz val="10"/>
        <color indexed="8"/>
        <rFont val="Arial"/>
        <family val="2"/>
      </rPr>
      <t>(in kCal/kg,liter)</t>
    </r>
  </si>
  <si>
    <r>
      <t xml:space="preserve">Actual GHR/SHR </t>
    </r>
    <r>
      <rPr>
        <b/>
        <sz val="10"/>
        <color indexed="9"/>
        <rFont val="Arial"/>
        <family val="2"/>
      </rPr>
      <t>(in kCal/kWh)</t>
    </r>
  </si>
  <si>
    <r>
      <t xml:space="preserve">Actual Aux. Cons </t>
    </r>
    <r>
      <rPr>
        <b/>
        <sz val="10"/>
        <color indexed="9"/>
        <rFont val="Arial"/>
        <family val="2"/>
      </rPr>
      <t>(in %)</t>
    </r>
  </si>
  <si>
    <t>AUL (SG/ACT)</t>
  </si>
  <si>
    <t>Compensation Calculation Period</t>
  </si>
  <si>
    <t>LPSF_Cum, Rs/ml</t>
  </si>
  <si>
    <t>3:24</t>
  </si>
  <si>
    <t>3:42</t>
  </si>
  <si>
    <t>160:14</t>
  </si>
  <si>
    <t>10:35</t>
  </si>
  <si>
    <t>98:46</t>
  </si>
  <si>
    <t>14:04</t>
  </si>
  <si>
    <t>17:13</t>
  </si>
  <si>
    <t>Annexure-I</t>
  </si>
  <si>
    <t>%GHR (AUL SG)-IEGC (4th amend.)</t>
  </si>
  <si>
    <t>%AUX (AUL SG)-IEGC (4th amend.)</t>
  </si>
  <si>
    <t>GHR (AUL SG/ACT)</t>
  </si>
  <si>
    <t>AUX (AUL SG/ACT)</t>
  </si>
  <si>
    <t>%GHR (AUL DC)</t>
  </si>
  <si>
    <t>%AUX (AUL DC)</t>
  </si>
  <si>
    <t>GHR (AUL DC)</t>
  </si>
  <si>
    <t>AUX (AUL DC)</t>
  </si>
  <si>
    <t>ECR_Act</t>
  </si>
  <si>
    <t>ECR_Nor</t>
  </si>
  <si>
    <t>ECR SG</t>
  </si>
  <si>
    <t>ECR_DC</t>
  </si>
  <si>
    <r>
      <t xml:space="preserve">LPPF </t>
    </r>
    <r>
      <rPr>
        <b/>
        <sz val="10"/>
        <rFont val="Arial"/>
        <family val="2"/>
      </rPr>
      <t>(in Rs./MT)</t>
    </r>
  </si>
  <si>
    <t>A. Data submitted by NTPC</t>
  </si>
  <si>
    <t>B. Compensation Calculation for the period 15.05.2017 to 30.06.2017</t>
  </si>
  <si>
    <t>14:35</t>
  </si>
  <si>
    <t>815:58</t>
  </si>
  <si>
    <t>ER</t>
  </si>
  <si>
    <t>Farakka-I&amp;II</t>
  </si>
  <si>
    <t>UNIT-04</t>
  </si>
  <si>
    <t>88:16:00</t>
  </si>
  <si>
    <t>71:58:00</t>
  </si>
  <si>
    <t>UNIT-05</t>
  </si>
  <si>
    <t>3:58:00</t>
  </si>
  <si>
    <t>Farakka-III</t>
  </si>
  <si>
    <t>UNIT-06</t>
  </si>
  <si>
    <t>2:16:00</t>
  </si>
  <si>
    <t>2:29:00</t>
  </si>
  <si>
    <t>9:19:00</t>
  </si>
  <si>
    <t>Barh-II</t>
  </si>
  <si>
    <t>8:43:00</t>
  </si>
  <si>
    <t>1:03:00</t>
  </si>
  <si>
    <t>:49:00</t>
  </si>
  <si>
    <t>Kahalgaon-I</t>
  </si>
  <si>
    <t>UNIT-01</t>
  </si>
  <si>
    <t>4:33:00</t>
  </si>
  <si>
    <t>UNIT-02</t>
  </si>
  <si>
    <t>3:24:00</t>
  </si>
  <si>
    <t>UNIT-03</t>
  </si>
  <si>
    <t>3:42:00</t>
  </si>
  <si>
    <t>720:00:00</t>
  </si>
  <si>
    <t>Kahalgaon-II</t>
  </si>
  <si>
    <t>56:29:00</t>
  </si>
  <si>
    <t>40:17:00</t>
  </si>
  <si>
    <t>2:00:00</t>
  </si>
  <si>
    <t>14:22:00</t>
  </si>
  <si>
    <t>2:51:00</t>
  </si>
  <si>
    <t>Talcher -I</t>
  </si>
  <si>
    <t>8:53:00</t>
  </si>
  <si>
    <t>42:18:00</t>
  </si>
  <si>
    <t>22:21:00</t>
  </si>
  <si>
    <t xml:space="preserve">Outage Details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</si>
</sst>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0.000"/>
    <numFmt numFmtId="174" formatCode="0.0"/>
    <numFmt numFmtId="175" formatCode="[$-409]h:mm:ss\ AM/PM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2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4" fillId="0" borderId="0" xfId="55" applyFont="1" applyAlignment="1">
      <alignment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14" fontId="46" fillId="33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 horizontal="right"/>
    </xf>
    <xf numFmtId="17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172" fontId="0" fillId="0" borderId="18" xfId="0" applyNumberFormat="1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 wrapText="1"/>
    </xf>
    <xf numFmtId="2" fontId="0" fillId="0" borderId="0" xfId="58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0" fontId="0" fillId="33" borderId="19" xfId="0" applyFill="1" applyBorder="1" applyAlignment="1">
      <alignment horizontal="left" wrapText="1"/>
    </xf>
    <xf numFmtId="2" fontId="0" fillId="0" borderId="0" xfId="0" applyNumberFormat="1" applyAlignment="1">
      <alignment/>
    </xf>
    <xf numFmtId="2" fontId="0" fillId="35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36" borderId="21" xfId="0" applyFont="1" applyFill="1" applyBorder="1" applyAlignment="1">
      <alignment wrapText="1"/>
    </xf>
    <xf numFmtId="0" fontId="44" fillId="0" borderId="22" xfId="0" applyFont="1" applyBorder="1" applyAlignment="1">
      <alignment vertical="top" wrapText="1"/>
    </xf>
    <xf numFmtId="0" fontId="44" fillId="0" borderId="22" xfId="0" applyFont="1" applyBorder="1" applyAlignment="1">
      <alignment wrapText="1"/>
    </xf>
    <xf numFmtId="0" fontId="44" fillId="0" borderId="22" xfId="0" applyFont="1" applyBorder="1" applyAlignment="1">
      <alignment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0" borderId="11" xfId="55" applyFont="1" applyBorder="1" applyAlignment="1" applyProtection="1">
      <alignment/>
      <protection locked="0"/>
    </xf>
    <xf numFmtId="0" fontId="4" fillId="0" borderId="0" xfId="55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23" xfId="0" applyFont="1" applyBorder="1" applyAlignment="1" applyProtection="1">
      <alignment wrapText="1"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right"/>
      <protection locked="0"/>
    </xf>
    <xf numFmtId="14" fontId="46" fillId="33" borderId="10" xfId="0" applyNumberFormat="1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24" xfId="0" applyFont="1" applyBorder="1" applyAlignment="1" applyProtection="1">
      <alignment/>
      <protection locked="0"/>
    </xf>
    <xf numFmtId="0" fontId="46" fillId="0" borderId="25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wrapText="1"/>
      <protection locked="0"/>
    </xf>
    <xf numFmtId="14" fontId="47" fillId="0" borderId="23" xfId="0" applyNumberFormat="1" applyFont="1" applyBorder="1" applyAlignment="1" applyProtection="1">
      <alignment/>
      <protection locked="0"/>
    </xf>
    <xf numFmtId="14" fontId="47" fillId="0" borderId="0" xfId="0" applyNumberFormat="1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wrapText="1"/>
      <protection locked="0"/>
    </xf>
    <xf numFmtId="4" fontId="46" fillId="0" borderId="10" xfId="0" applyNumberFormat="1" applyFont="1" applyBorder="1" applyAlignment="1" applyProtection="1">
      <alignment/>
      <protection locked="0"/>
    </xf>
    <xf numFmtId="4" fontId="46" fillId="0" borderId="10" xfId="0" applyNumberFormat="1" applyFont="1" applyBorder="1" applyAlignment="1" applyProtection="1">
      <alignment horizontal="center"/>
      <protection locked="0"/>
    </xf>
    <xf numFmtId="4" fontId="46" fillId="4" borderId="10" xfId="0" applyNumberFormat="1" applyFont="1" applyFill="1" applyBorder="1" applyAlignment="1" applyProtection="1">
      <alignment/>
      <protection locked="0"/>
    </xf>
    <xf numFmtId="0" fontId="46" fillId="4" borderId="10" xfId="0" applyFont="1" applyFill="1" applyBorder="1" applyAlignment="1" applyProtection="1">
      <alignment/>
      <protection locked="0"/>
    </xf>
    <xf numFmtId="2" fontId="45" fillId="0" borderId="10" xfId="0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6" fillId="4" borderId="0" xfId="0" applyFont="1" applyFill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173" fontId="46" fillId="0" borderId="10" xfId="0" applyNumberFormat="1" applyFont="1" applyBorder="1" applyAlignment="1" applyProtection="1">
      <alignment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 horizontal="center"/>
      <protection locked="0"/>
    </xf>
    <xf numFmtId="0" fontId="47" fillId="0" borderId="25" xfId="0" applyFont="1" applyBorder="1" applyAlignment="1" applyProtection="1">
      <alignment horizontal="center"/>
      <protection locked="0"/>
    </xf>
    <xf numFmtId="2" fontId="0" fillId="0" borderId="10" xfId="58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4" fontId="46" fillId="33" borderId="10" xfId="0" applyNumberFormat="1" applyFont="1" applyFill="1" applyBorder="1" applyAlignment="1" applyProtection="1">
      <alignment/>
      <protection locked="0"/>
    </xf>
    <xf numFmtId="2" fontId="0" fillId="0" borderId="10" xfId="58" applyNumberFormat="1" applyFont="1" applyFill="1" applyBorder="1" applyAlignment="1" applyProtection="1">
      <alignment/>
      <protection/>
    </xf>
    <xf numFmtId="2" fontId="46" fillId="33" borderId="10" xfId="0" applyNumberFormat="1" applyFont="1" applyFill="1" applyBorder="1" applyAlignment="1" applyProtection="1">
      <alignment/>
      <protection locked="0"/>
    </xf>
    <xf numFmtId="2" fontId="46" fillId="4" borderId="10" xfId="0" applyNumberFormat="1" applyFont="1" applyFill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left"/>
      <protection locked="0"/>
    </xf>
    <xf numFmtId="2" fontId="46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/>
      <protection locked="0"/>
    </xf>
    <xf numFmtId="2" fontId="0" fillId="4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2" fontId="0" fillId="2" borderId="10" xfId="0" applyNumberFormat="1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4" fontId="0" fillId="4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 locked="0"/>
    </xf>
    <xf numFmtId="173" fontId="0" fillId="0" borderId="10" xfId="0" applyNumberFormat="1" applyFont="1" applyBorder="1" applyAlignment="1" applyProtection="1">
      <alignment/>
      <protection/>
    </xf>
    <xf numFmtId="2" fontId="0" fillId="0" borderId="27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 locked="0"/>
    </xf>
    <xf numFmtId="173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1" fontId="46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73" fontId="0" fillId="4" borderId="10" xfId="0" applyNumberFormat="1" applyFont="1" applyFill="1" applyBorder="1" applyAlignment="1" applyProtection="1">
      <alignment/>
      <protection locked="0"/>
    </xf>
    <xf numFmtId="174" fontId="48" fillId="4" borderId="10" xfId="0" applyNumberFormat="1" applyFont="1" applyFill="1" applyBorder="1" applyAlignment="1" applyProtection="1">
      <alignment/>
      <protection locked="0"/>
    </xf>
    <xf numFmtId="0" fontId="48" fillId="4" borderId="10" xfId="0" applyFont="1" applyFill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wrapText="1"/>
      <protection locked="0"/>
    </xf>
    <xf numFmtId="1" fontId="2" fillId="4" borderId="10" xfId="0" applyNumberFormat="1" applyFont="1" applyFill="1" applyBorder="1" applyAlignment="1" applyProtection="1">
      <alignment/>
      <protection locked="0"/>
    </xf>
    <xf numFmtId="0" fontId="47" fillId="4" borderId="10" xfId="0" applyFont="1" applyFill="1" applyBorder="1" applyAlignment="1" applyProtection="1">
      <alignment/>
      <protection locked="0"/>
    </xf>
    <xf numFmtId="0" fontId="47" fillId="7" borderId="10" xfId="0" applyFont="1" applyFill="1" applyBorder="1" applyAlignment="1" applyProtection="1">
      <alignment/>
      <protection locked="0"/>
    </xf>
    <xf numFmtId="1" fontId="47" fillId="7" borderId="10" xfId="0" applyNumberFormat="1" applyFont="1" applyFill="1" applyBorder="1" applyAlignment="1" applyProtection="1">
      <alignment/>
      <protection/>
    </xf>
    <xf numFmtId="0" fontId="47" fillId="7" borderId="10" xfId="0" applyFont="1" applyFill="1" applyBorder="1" applyAlignment="1" applyProtection="1">
      <alignment/>
      <protection/>
    </xf>
    <xf numFmtId="1" fontId="46" fillId="0" borderId="10" xfId="0" applyNumberFormat="1" applyFont="1" applyBorder="1" applyAlignment="1" applyProtection="1">
      <alignment/>
      <protection/>
    </xf>
    <xf numFmtId="1" fontId="46" fillId="0" borderId="10" xfId="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 locked="0"/>
    </xf>
    <xf numFmtId="49" fontId="0" fillId="4" borderId="26" xfId="0" applyNumberFormat="1" applyFill="1" applyBorder="1" applyAlignment="1" applyProtection="1">
      <alignment horizontal="center"/>
      <protection locked="0"/>
    </xf>
    <xf numFmtId="20" fontId="0" fillId="4" borderId="26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6" fillId="0" borderId="24" xfId="0" applyFont="1" applyBorder="1" applyAlignment="1" applyProtection="1">
      <alignment/>
      <protection locked="0"/>
    </xf>
    <xf numFmtId="46" fontId="0" fillId="4" borderId="26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14" fontId="0" fillId="0" borderId="27" xfId="0" applyNumberFormat="1" applyBorder="1" applyAlignment="1">
      <alignment horizontal="right"/>
    </xf>
    <xf numFmtId="172" fontId="0" fillId="0" borderId="27" xfId="0" applyNumberFormat="1" applyBorder="1" applyAlignment="1">
      <alignment/>
    </xf>
    <xf numFmtId="0" fontId="4" fillId="0" borderId="10" xfId="0" applyFont="1" applyBorder="1" applyAlignment="1">
      <alignment/>
    </xf>
    <xf numFmtId="0" fontId="44" fillId="0" borderId="2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4" fillId="36" borderId="29" xfId="0" applyFont="1" applyFill="1" applyBorder="1" applyAlignment="1">
      <alignment horizontal="center" wrapText="1"/>
    </xf>
    <xf numFmtId="0" fontId="44" fillId="36" borderId="20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/>
    </xf>
    <xf numFmtId="0" fontId="50" fillId="0" borderId="26" xfId="0" applyFont="1" applyBorder="1" applyAlignment="1" applyProtection="1">
      <alignment horizontal="left" wrapText="1"/>
      <protection locked="0"/>
    </xf>
    <xf numFmtId="0" fontId="50" fillId="0" borderId="24" xfId="0" applyFont="1" applyBorder="1" applyAlignment="1" applyProtection="1">
      <alignment horizontal="left" wrapText="1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30" xfId="0" applyFont="1" applyBorder="1" applyAlignment="1" applyProtection="1">
      <alignment horizontal="center" vertical="top" wrapText="1"/>
      <protection locked="0"/>
    </xf>
    <xf numFmtId="0" fontId="44" fillId="0" borderId="27" xfId="0" applyFont="1" applyBorder="1" applyAlignment="1" applyProtection="1">
      <alignment horizontal="center" vertical="top" wrapText="1"/>
      <protection locked="0"/>
    </xf>
    <xf numFmtId="0" fontId="47" fillId="0" borderId="26" xfId="55" applyFont="1" applyBorder="1" applyAlignment="1" applyProtection="1">
      <alignment horizontal="center"/>
      <protection locked="0"/>
    </xf>
    <xf numFmtId="0" fontId="47" fillId="0" borderId="24" xfId="55" applyFont="1" applyBorder="1" applyAlignment="1" applyProtection="1">
      <alignment horizontal="center"/>
      <protection locked="0"/>
    </xf>
    <xf numFmtId="0" fontId="47" fillId="0" borderId="25" xfId="55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6" fillId="0" borderId="26" xfId="0" applyFont="1" applyFill="1" applyBorder="1" applyAlignment="1" applyProtection="1">
      <alignment horizontal="left"/>
      <protection locked="0"/>
    </xf>
    <xf numFmtId="0" fontId="46" fillId="0" borderId="25" xfId="0" applyFont="1" applyFill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 wrapText="1"/>
      <protection locked="0"/>
    </xf>
    <xf numFmtId="0" fontId="46" fillId="0" borderId="26" xfId="0" applyFont="1" applyBorder="1" applyAlignment="1" applyProtection="1">
      <alignment horizontal="left"/>
      <protection locked="0"/>
    </xf>
    <xf numFmtId="0" fontId="46" fillId="0" borderId="25" xfId="0" applyFont="1" applyBorder="1" applyAlignment="1" applyProtection="1">
      <alignment horizontal="left"/>
      <protection locked="0"/>
    </xf>
    <xf numFmtId="0" fontId="47" fillId="0" borderId="26" xfId="0" applyFont="1" applyBorder="1" applyAlignment="1" applyProtection="1">
      <alignment horizontal="center" wrapText="1"/>
      <protection locked="0"/>
    </xf>
    <xf numFmtId="0" fontId="47" fillId="0" borderId="24" xfId="0" applyFont="1" applyBorder="1" applyAlignment="1" applyProtection="1">
      <alignment horizontal="center" wrapText="1"/>
      <protection locked="0"/>
    </xf>
    <xf numFmtId="0" fontId="47" fillId="0" borderId="25" xfId="0" applyFont="1" applyBorder="1" applyAlignment="1" applyProtection="1">
      <alignment horizontal="center" wrapText="1"/>
      <protection locked="0"/>
    </xf>
    <xf numFmtId="14" fontId="47" fillId="0" borderId="26" xfId="0" applyNumberFormat="1" applyFont="1" applyBorder="1" applyAlignment="1" applyProtection="1">
      <alignment horizontal="center"/>
      <protection locked="0"/>
    </xf>
    <xf numFmtId="14" fontId="47" fillId="0" borderId="24" xfId="0" applyNumberFormat="1" applyFont="1" applyBorder="1" applyAlignment="1" applyProtection="1">
      <alignment horizontal="center"/>
      <protection locked="0"/>
    </xf>
    <xf numFmtId="14" fontId="47" fillId="0" borderId="25" xfId="0" applyNumberFormat="1" applyFont="1" applyBorder="1" applyAlignment="1" applyProtection="1">
      <alignment horizontal="center"/>
      <protection locked="0"/>
    </xf>
    <xf numFmtId="0" fontId="47" fillId="0" borderId="26" xfId="0" applyFont="1" applyFill="1" applyBorder="1" applyAlignment="1" applyProtection="1">
      <alignment horizontal="center" wrapText="1"/>
      <protection locked="0"/>
    </xf>
    <xf numFmtId="0" fontId="47" fillId="0" borderId="25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4" fillId="0" borderId="31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left" wrapText="1"/>
    </xf>
    <xf numFmtId="0" fontId="47" fillId="0" borderId="25" xfId="0" applyFont="1" applyBorder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3" fillId="0" borderId="0" xfId="55" applyFont="1" applyAlignment="1">
      <alignment horizontal="center"/>
      <protection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pc\AppData\Local\Temp\Coal%20Station%20Compensation%20Data_May2017-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pc\AppData\Local\Temp\Bangal%20Compensation%20Calculation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l stations"/>
      <sheetName val="Gas Stations"/>
      <sheetName val="GAS"/>
      <sheetName val="Coal Station Compensation Data_"/>
    </sheetNames>
    <definedNames>
      <definedName name="Iteration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2">
        <row r="30">
          <cell r="A30" t="str">
            <v>Farakka-1</v>
          </cell>
          <cell r="B30">
            <v>1600</v>
          </cell>
          <cell r="C30">
            <v>6.47</v>
          </cell>
        </row>
        <row r="31">
          <cell r="A31" t="str">
            <v>Farakka-2</v>
          </cell>
          <cell r="B31">
            <v>500</v>
          </cell>
          <cell r="C31">
            <v>5.75</v>
          </cell>
        </row>
        <row r="32">
          <cell r="A32" t="str">
            <v>Kahalgaon-1</v>
          </cell>
          <cell r="B32">
            <v>840</v>
          </cell>
          <cell r="C32">
            <v>9</v>
          </cell>
        </row>
        <row r="33">
          <cell r="A33" t="str">
            <v>Kahalgaon-2</v>
          </cell>
          <cell r="B33">
            <v>1500</v>
          </cell>
          <cell r="C33">
            <v>5.75</v>
          </cell>
        </row>
        <row r="34">
          <cell r="A34" t="str">
            <v>Barh</v>
          </cell>
          <cell r="B34">
            <v>1320</v>
          </cell>
          <cell r="C34">
            <v>5.75</v>
          </cell>
        </row>
        <row r="35">
          <cell r="A35" t="str">
            <v>Talcher Super-1</v>
          </cell>
          <cell r="B35">
            <v>1000</v>
          </cell>
          <cell r="C35">
            <v>5.25</v>
          </cell>
        </row>
        <row r="37">
          <cell r="A37" t="str">
            <v>TTPS</v>
          </cell>
          <cell r="B37">
            <v>460</v>
          </cell>
          <cell r="C37">
            <v>10.5</v>
          </cell>
        </row>
        <row r="38">
          <cell r="A38" t="str">
            <v>Bongaigaon</v>
          </cell>
          <cell r="B38">
            <v>250</v>
          </cell>
          <cell r="C3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"/>
  <sheetViews>
    <sheetView zoomScale="85" zoomScaleNormal="85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7" sqref="B7"/>
    </sheetView>
  </sheetViews>
  <sheetFormatPr defaultColWidth="9.140625" defaultRowHeight="15"/>
  <cols>
    <col min="1" max="1" width="30.7109375" style="0" customWidth="1"/>
    <col min="2" max="2" width="11.28125" style="0" customWidth="1"/>
    <col min="3" max="3" width="9.421875" style="0" customWidth="1"/>
    <col min="4" max="4" width="10.00390625" style="0" customWidth="1"/>
    <col min="5" max="5" width="8.28125" style="0" customWidth="1"/>
    <col min="6" max="6" width="10.7109375" style="0" customWidth="1"/>
    <col min="7" max="7" width="13.00390625" style="0" customWidth="1"/>
    <col min="8" max="8" width="11.421875" style="0" customWidth="1"/>
    <col min="9" max="28" width="9.140625" style="43" customWidth="1"/>
  </cols>
  <sheetData>
    <row r="1" spans="1:8" ht="51.75" customHeight="1">
      <c r="A1" s="164" t="s">
        <v>125</v>
      </c>
      <c r="B1" s="164"/>
      <c r="C1" s="164"/>
      <c r="D1" s="164"/>
      <c r="E1" s="164"/>
      <c r="F1" s="164"/>
      <c r="G1" s="164"/>
      <c r="H1" s="164"/>
    </row>
    <row r="2" spans="1:8" ht="45" customHeight="1" thickBot="1">
      <c r="A2" s="44" t="s">
        <v>77</v>
      </c>
      <c r="B2" s="165" t="s">
        <v>126</v>
      </c>
      <c r="C2" s="167" t="s">
        <v>127</v>
      </c>
      <c r="D2" s="167"/>
      <c r="E2" s="167"/>
      <c r="F2" s="166" t="s">
        <v>128</v>
      </c>
      <c r="G2" s="169" t="s">
        <v>129</v>
      </c>
      <c r="H2" s="169"/>
    </row>
    <row r="3" spans="1:8" ht="64.5" customHeight="1" thickBot="1">
      <c r="A3" s="45"/>
      <c r="B3" s="166"/>
      <c r="C3" s="46" t="s">
        <v>130</v>
      </c>
      <c r="D3" s="46" t="s">
        <v>131</v>
      </c>
      <c r="E3" s="46" t="s">
        <v>132</v>
      </c>
      <c r="F3" s="168"/>
      <c r="G3" s="46" t="s">
        <v>133</v>
      </c>
      <c r="H3" s="46" t="s">
        <v>134</v>
      </c>
    </row>
    <row r="4" spans="1:8" ht="15.75" customHeight="1">
      <c r="A4" s="47"/>
      <c r="B4" s="48" t="s">
        <v>117</v>
      </c>
      <c r="C4" s="163" t="s">
        <v>107</v>
      </c>
      <c r="D4" s="163"/>
      <c r="E4" s="163"/>
      <c r="F4" s="48"/>
      <c r="G4" s="49"/>
      <c r="H4" s="49"/>
    </row>
    <row r="5" spans="1:69" s="43" customFormat="1" ht="15">
      <c r="A5" s="51" t="s">
        <v>124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/>
      <c r="H5" s="41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43" customFormat="1" ht="15">
      <c r="A6" s="52" t="s">
        <v>122</v>
      </c>
      <c r="B6" s="41">
        <v>406.075</v>
      </c>
      <c r="C6" s="41">
        <v>505.093225</v>
      </c>
      <c r="D6" s="41">
        <v>443.1750407272501</v>
      </c>
      <c r="E6" s="41">
        <v>432.88457650000004</v>
      </c>
      <c r="F6" s="41">
        <v>536.019</v>
      </c>
      <c r="G6" s="41">
        <v>5.121456343569008</v>
      </c>
      <c r="H6" s="41">
        <v>2435</v>
      </c>
      <c r="I6"/>
      <c r="J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43" customFormat="1" ht="15">
      <c r="A7" s="51" t="s">
        <v>39</v>
      </c>
      <c r="B7" s="41">
        <v>397.067</v>
      </c>
      <c r="C7" s="41">
        <v>591.347</v>
      </c>
      <c r="D7" s="41">
        <v>472.5482</v>
      </c>
      <c r="E7" s="41">
        <v>484.542</v>
      </c>
      <c r="F7" s="41">
        <v>635.31</v>
      </c>
      <c r="G7" s="41">
        <v>7.53</v>
      </c>
      <c r="H7" s="41">
        <v>2474</v>
      </c>
      <c r="I7"/>
      <c r="J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43" customFormat="1" ht="15">
      <c r="A8" s="51" t="s">
        <v>120</v>
      </c>
      <c r="B8" s="41">
        <v>408</v>
      </c>
      <c r="C8" s="41">
        <v>191.16</v>
      </c>
      <c r="D8" s="41">
        <v>133.509</v>
      </c>
      <c r="E8" s="41">
        <v>143.67</v>
      </c>
      <c r="F8" s="41">
        <v>204</v>
      </c>
      <c r="G8" s="41">
        <v>6.42</v>
      </c>
      <c r="H8" s="41">
        <v>2477</v>
      </c>
      <c r="I8"/>
      <c r="J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43" customFormat="1" ht="15">
      <c r="A9" s="51" t="s">
        <v>40</v>
      </c>
      <c r="B9" s="41">
        <v>381.33</v>
      </c>
      <c r="C9" s="41">
        <v>286.4125</v>
      </c>
      <c r="D9" s="41">
        <v>251.0825</v>
      </c>
      <c r="E9" s="41">
        <v>251.4143</v>
      </c>
      <c r="F9" s="41">
        <v>320.3172</v>
      </c>
      <c r="G9" s="41">
        <v>9.46</v>
      </c>
      <c r="H9" s="41">
        <v>2457</v>
      </c>
      <c r="I9"/>
      <c r="J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43" customFormat="1" ht="15">
      <c r="A10" s="50" t="s">
        <v>121</v>
      </c>
      <c r="B10" s="41">
        <v>408</v>
      </c>
      <c r="C10" s="41">
        <v>574.196</v>
      </c>
      <c r="D10" s="41">
        <v>460.5586</v>
      </c>
      <c r="E10" s="41">
        <v>471.9766</v>
      </c>
      <c r="F10" s="41">
        <v>612</v>
      </c>
      <c r="G10" s="41">
        <v>5.52</v>
      </c>
      <c r="H10" s="41">
        <v>2411</v>
      </c>
      <c r="I10"/>
      <c r="J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43" customFormat="1" ht="15">
      <c r="A11" s="50" t="s">
        <v>41</v>
      </c>
      <c r="B11" s="41">
        <v>408</v>
      </c>
      <c r="C11" s="41">
        <v>353.65199999999993</v>
      </c>
      <c r="D11" s="41">
        <v>345.4891853</v>
      </c>
      <c r="E11" s="41">
        <v>342.36468740000004</v>
      </c>
      <c r="F11" s="41">
        <v>408</v>
      </c>
      <c r="G11" s="41">
        <v>7.741865598755578</v>
      </c>
      <c r="H11" s="41">
        <v>2452.5</v>
      </c>
      <c r="I11"/>
      <c r="J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43" customFormat="1" ht="15">
      <c r="A12" s="50" t="s">
        <v>123</v>
      </c>
      <c r="B12" s="41"/>
      <c r="C12" s="41"/>
      <c r="D12" s="41"/>
      <c r="E12" s="41"/>
      <c r="F12" s="41"/>
      <c r="G12" s="41"/>
      <c r="H12" s="41"/>
      <c r="I12"/>
      <c r="J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</sheetData>
  <sheetProtection/>
  <mergeCells count="6">
    <mergeCell ref="C4:E4"/>
    <mergeCell ref="A1:H1"/>
    <mergeCell ref="B2:B3"/>
    <mergeCell ref="C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"/>
  <sheetViews>
    <sheetView zoomScale="85" zoomScaleNormal="85" zoomScalePageLayoutView="0" workbookViewId="0" topLeftCell="A93">
      <selection activeCell="A1" sqref="A1:M104"/>
    </sheetView>
  </sheetViews>
  <sheetFormatPr defaultColWidth="9.140625" defaultRowHeight="15"/>
  <cols>
    <col min="1" max="1" width="19.28125" style="57" customWidth="1"/>
    <col min="2" max="2" width="14.28125" style="57" bestFit="1" customWidth="1"/>
    <col min="3" max="3" width="22.140625" style="57" customWidth="1"/>
    <col min="4" max="4" width="14.00390625" style="57" customWidth="1"/>
    <col min="5" max="5" width="13.8515625" style="57" customWidth="1"/>
    <col min="6" max="6" width="10.7109375" style="57" bestFit="1" customWidth="1"/>
    <col min="7" max="7" width="15.421875" style="57" customWidth="1"/>
    <col min="8" max="8" width="13.28125" style="57" bestFit="1" customWidth="1"/>
    <col min="9" max="9" width="13.57421875" style="57" customWidth="1"/>
    <col min="10" max="10" width="14.421875" style="57" customWidth="1"/>
    <col min="11" max="11" width="13.421875" style="57" customWidth="1"/>
    <col min="12" max="12" width="17.7109375" style="57" bestFit="1" customWidth="1"/>
    <col min="13" max="13" width="14.140625" style="57" customWidth="1"/>
    <col min="14" max="14" width="10.57421875" style="57" bestFit="1" customWidth="1"/>
    <col min="15" max="15" width="10.421875" style="57" bestFit="1" customWidth="1"/>
    <col min="16" max="16" width="12.421875" style="57" customWidth="1"/>
    <col min="17" max="17" width="13.57421875" style="57" bestFit="1" customWidth="1"/>
    <col min="18" max="18" width="13.7109375" style="57" bestFit="1" customWidth="1"/>
    <col min="19" max="19" width="11.00390625" style="57" customWidth="1"/>
    <col min="20" max="20" width="9.57421875" style="57" customWidth="1"/>
    <col min="21" max="21" width="10.421875" style="57" customWidth="1"/>
    <col min="22" max="22" width="10.7109375" style="57" customWidth="1"/>
    <col min="23" max="23" width="10.421875" style="57" customWidth="1"/>
    <col min="24" max="24" width="11.28125" style="57" customWidth="1"/>
    <col min="25" max="25" width="8.7109375" style="57" bestFit="1" customWidth="1"/>
    <col min="26" max="26" width="16.421875" style="57" bestFit="1" customWidth="1"/>
    <col min="27" max="27" width="16.28125" style="57" bestFit="1" customWidth="1"/>
    <col min="28" max="28" width="14.8515625" style="57" bestFit="1" customWidth="1"/>
    <col min="29" max="29" width="14.7109375" style="57" bestFit="1" customWidth="1"/>
    <col min="30" max="31" width="7.7109375" style="57" bestFit="1" customWidth="1"/>
    <col min="32" max="32" width="9.421875" style="57" bestFit="1" customWidth="1"/>
    <col min="33" max="33" width="7.7109375" style="57" bestFit="1" customWidth="1"/>
    <col min="34" max="34" width="14.7109375" style="57" bestFit="1" customWidth="1"/>
    <col min="35" max="35" width="14.7109375" style="57" customWidth="1"/>
    <col min="36" max="36" width="14.8515625" style="57" bestFit="1" customWidth="1"/>
    <col min="37" max="38" width="14.00390625" style="57" bestFit="1" customWidth="1"/>
    <col min="39" max="16384" width="9.140625" style="57" customWidth="1"/>
  </cols>
  <sheetData>
    <row r="1" ht="12.75">
      <c r="M1" s="83" t="s">
        <v>193</v>
      </c>
    </row>
    <row r="2" spans="1:20" ht="12.75">
      <c r="A2" s="175" t="s">
        <v>38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55"/>
      <c r="O2" s="55"/>
      <c r="P2" s="55"/>
      <c r="Q2" s="56"/>
      <c r="R2" s="56"/>
      <c r="S2" s="56"/>
      <c r="T2" s="56"/>
    </row>
    <row r="3" spans="1:16" ht="1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58"/>
      <c r="O3" s="59"/>
      <c r="P3" s="59"/>
    </row>
    <row r="4" spans="1:16" ht="12.75">
      <c r="A4" s="181" t="s">
        <v>184</v>
      </c>
      <c r="B4" s="181"/>
      <c r="C4" s="60" t="s">
        <v>3</v>
      </c>
      <c r="D4" s="61">
        <v>42870</v>
      </c>
      <c r="E4" s="60" t="s">
        <v>4</v>
      </c>
      <c r="F4" s="61">
        <v>42916</v>
      </c>
      <c r="G4" s="62"/>
      <c r="H4" s="62"/>
      <c r="I4" s="62"/>
      <c r="J4" s="62"/>
      <c r="K4" s="62"/>
      <c r="L4" s="62"/>
      <c r="M4" s="62"/>
      <c r="N4" s="63"/>
      <c r="O4" s="64"/>
      <c r="P4" s="64"/>
    </row>
    <row r="5" spans="1:16" ht="30.75" customHeight="1">
      <c r="A5" s="170" t="s">
        <v>207</v>
      </c>
      <c r="B5" s="171"/>
      <c r="C5" s="153"/>
      <c r="D5" s="153"/>
      <c r="E5" s="153"/>
      <c r="F5" s="153"/>
      <c r="G5" s="65"/>
      <c r="H5" s="65"/>
      <c r="I5" s="65"/>
      <c r="J5" s="65"/>
      <c r="K5" s="65"/>
      <c r="L5" s="65"/>
      <c r="M5" s="66"/>
      <c r="N5" s="63"/>
      <c r="O5" s="64"/>
      <c r="P5" s="64"/>
    </row>
    <row r="6" spans="1:23" ht="25.5" customHeight="1">
      <c r="A6" s="67"/>
      <c r="B6" s="62"/>
      <c r="C6" s="62"/>
      <c r="D6" s="187" t="s">
        <v>20</v>
      </c>
      <c r="E6" s="188"/>
      <c r="F6" s="188"/>
      <c r="G6" s="188"/>
      <c r="H6" s="188"/>
      <c r="I6" s="188"/>
      <c r="J6" s="188"/>
      <c r="K6" s="188"/>
      <c r="L6" s="188"/>
      <c r="M6" s="189"/>
      <c r="N6" s="68"/>
      <c r="O6" s="69"/>
      <c r="P6" s="69"/>
      <c r="Q6" s="70"/>
      <c r="R6" s="70"/>
      <c r="S6" s="70"/>
      <c r="T6" s="70"/>
      <c r="U6" s="70"/>
      <c r="V6" s="70"/>
      <c r="W6" s="64"/>
    </row>
    <row r="7" spans="1:13" ht="12.75">
      <c r="A7" s="178"/>
      <c r="B7" s="178"/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  <c r="I7" s="71">
        <v>7</v>
      </c>
      <c r="J7" s="71">
        <v>8</v>
      </c>
      <c r="K7" s="71">
        <v>9</v>
      </c>
      <c r="L7" s="71">
        <v>10</v>
      </c>
      <c r="M7" s="71">
        <v>11</v>
      </c>
    </row>
    <row r="8" spans="1:13" ht="12.75">
      <c r="A8" s="178"/>
      <c r="B8" s="178"/>
      <c r="C8" s="62" t="s">
        <v>6</v>
      </c>
      <c r="D8" s="62" t="s">
        <v>7</v>
      </c>
      <c r="E8" s="62" t="s">
        <v>8</v>
      </c>
      <c r="F8" s="62" t="s">
        <v>9</v>
      </c>
      <c r="G8" s="62" t="s">
        <v>10</v>
      </c>
      <c r="H8" s="62" t="s">
        <v>11</v>
      </c>
      <c r="I8" s="62" t="s">
        <v>12</v>
      </c>
      <c r="J8" s="62" t="s">
        <v>13</v>
      </c>
      <c r="K8" s="62" t="s">
        <v>14</v>
      </c>
      <c r="L8" s="137" t="s">
        <v>15</v>
      </c>
      <c r="M8" s="62" t="s">
        <v>16</v>
      </c>
    </row>
    <row r="9" spans="1:13" ht="77.25" customHeight="1">
      <c r="A9" s="190" t="s">
        <v>22</v>
      </c>
      <c r="B9" s="191"/>
      <c r="C9" s="72" t="s">
        <v>170</v>
      </c>
      <c r="D9" s="72" t="s">
        <v>171</v>
      </c>
      <c r="E9" s="72" t="s">
        <v>172</v>
      </c>
      <c r="F9" s="93" t="s">
        <v>173</v>
      </c>
      <c r="G9" s="149" t="s">
        <v>206</v>
      </c>
      <c r="H9" s="93" t="s">
        <v>174</v>
      </c>
      <c r="I9" s="72" t="s">
        <v>175</v>
      </c>
      <c r="J9" s="72" t="s">
        <v>176</v>
      </c>
      <c r="K9" s="72" t="s">
        <v>177</v>
      </c>
      <c r="L9" s="138" t="s">
        <v>181</v>
      </c>
      <c r="M9" s="72" t="s">
        <v>178</v>
      </c>
    </row>
    <row r="10" spans="1:13" ht="15" customHeight="1" hidden="1">
      <c r="A10" s="179" t="s">
        <v>42</v>
      </c>
      <c r="B10" s="180"/>
      <c r="C10" s="71">
        <v>250</v>
      </c>
      <c r="D10" s="73">
        <v>2361.82</v>
      </c>
      <c r="E10" s="62">
        <v>0.5</v>
      </c>
      <c r="F10" s="94">
        <v>9420</v>
      </c>
      <c r="G10" s="94">
        <v>5741.57</v>
      </c>
      <c r="H10" s="94">
        <v>44303.77</v>
      </c>
      <c r="I10" s="62"/>
      <c r="J10" s="62"/>
      <c r="K10" s="62">
        <v>9</v>
      </c>
      <c r="L10" s="62"/>
      <c r="M10" s="62"/>
    </row>
    <row r="11" spans="1:13" ht="15" customHeight="1">
      <c r="A11" s="179" t="s">
        <v>44</v>
      </c>
      <c r="B11" s="180"/>
      <c r="C11" s="74">
        <v>1320</v>
      </c>
      <c r="D11" s="75">
        <v>2247.8</v>
      </c>
      <c r="E11" s="76">
        <v>0.5</v>
      </c>
      <c r="F11" s="75">
        <v>9542.26</v>
      </c>
      <c r="G11" s="75">
        <v>3811.99</v>
      </c>
      <c r="H11" s="75">
        <v>50645.02</v>
      </c>
      <c r="I11" s="76"/>
      <c r="J11" s="76"/>
      <c r="K11" s="92">
        <v>5.75</v>
      </c>
      <c r="L11" s="135"/>
      <c r="M11" s="76"/>
    </row>
    <row r="12" spans="1:13" ht="15" customHeight="1">
      <c r="A12" s="182" t="s">
        <v>39</v>
      </c>
      <c r="B12" s="183"/>
      <c r="C12" s="74">
        <v>1600</v>
      </c>
      <c r="D12" s="75">
        <v>2403.13</v>
      </c>
      <c r="E12" s="76">
        <v>0.5</v>
      </c>
      <c r="F12" s="75">
        <v>9674</v>
      </c>
      <c r="G12" s="75">
        <v>4600.30543050989</v>
      </c>
      <c r="H12" s="75">
        <v>26588.555890612388</v>
      </c>
      <c r="I12" s="76"/>
      <c r="J12" s="76"/>
      <c r="K12" s="92">
        <v>6.47</v>
      </c>
      <c r="L12" s="135"/>
      <c r="M12" s="76"/>
    </row>
    <row r="13" spans="1:13" ht="15" customHeight="1">
      <c r="A13" s="182" t="s">
        <v>43</v>
      </c>
      <c r="B13" s="183"/>
      <c r="C13" s="132">
        <v>456.9148936170213</v>
      </c>
      <c r="D13" s="75">
        <v>2436.62</v>
      </c>
      <c r="E13" s="76">
        <v>0.5</v>
      </c>
      <c r="F13" s="75">
        <v>9725</v>
      </c>
      <c r="G13" s="75">
        <v>4600.31</v>
      </c>
      <c r="H13" s="75">
        <v>26588.555890612388</v>
      </c>
      <c r="I13" s="76"/>
      <c r="J13" s="76"/>
      <c r="K13" s="92">
        <v>5.75</v>
      </c>
      <c r="L13" s="135"/>
      <c r="M13" s="76"/>
    </row>
    <row r="14" spans="1:13" ht="15" customHeight="1">
      <c r="A14" s="179" t="s">
        <v>40</v>
      </c>
      <c r="B14" s="180"/>
      <c r="C14" s="71">
        <v>840</v>
      </c>
      <c r="D14" s="75">
        <v>2450</v>
      </c>
      <c r="E14" s="76">
        <v>0.5</v>
      </c>
      <c r="F14" s="75">
        <v>9937</v>
      </c>
      <c r="G14" s="75">
        <v>3016.93</v>
      </c>
      <c r="H14" s="75">
        <v>31029.71</v>
      </c>
      <c r="I14" s="76"/>
      <c r="J14" s="76"/>
      <c r="K14" s="92">
        <v>9</v>
      </c>
      <c r="L14" s="135"/>
      <c r="M14" s="76"/>
    </row>
    <row r="15" spans="1:13" ht="15" customHeight="1">
      <c r="A15" s="179" t="s">
        <v>53</v>
      </c>
      <c r="B15" s="180"/>
      <c r="C15" s="74">
        <v>1500</v>
      </c>
      <c r="D15" s="75">
        <v>2425</v>
      </c>
      <c r="E15" s="76">
        <v>0.5</v>
      </c>
      <c r="F15" s="75">
        <v>9921</v>
      </c>
      <c r="G15" s="75">
        <v>3023.96</v>
      </c>
      <c r="H15" s="75">
        <v>31916.4</v>
      </c>
      <c r="I15" s="76"/>
      <c r="J15" s="76"/>
      <c r="K15" s="92">
        <v>5.75</v>
      </c>
      <c r="L15" s="135"/>
      <c r="M15" s="76"/>
    </row>
    <row r="16" spans="1:13" ht="15" customHeight="1">
      <c r="A16" s="179" t="s">
        <v>41</v>
      </c>
      <c r="B16" s="180"/>
      <c r="C16" s="74">
        <v>1000</v>
      </c>
      <c r="D16" s="75">
        <v>2375</v>
      </c>
      <c r="E16" s="76">
        <v>0.5</v>
      </c>
      <c r="F16" s="75">
        <v>9993</v>
      </c>
      <c r="G16" s="75">
        <v>2029.94</v>
      </c>
      <c r="H16" s="75">
        <v>28598.11</v>
      </c>
      <c r="I16" s="76"/>
      <c r="J16" s="76"/>
      <c r="K16" s="92">
        <v>5.75</v>
      </c>
      <c r="L16" s="135"/>
      <c r="M16" s="76"/>
    </row>
    <row r="17" spans="1:24" ht="15" customHeight="1" hidden="1">
      <c r="A17" s="179" t="s">
        <v>54</v>
      </c>
      <c r="B17" s="180"/>
      <c r="C17" s="71">
        <v>460</v>
      </c>
      <c r="D17" s="73">
        <v>2850</v>
      </c>
      <c r="E17" s="62">
        <v>0.5</v>
      </c>
      <c r="F17" s="94">
        <v>9428</v>
      </c>
      <c r="G17" s="94">
        <v>1748.12</v>
      </c>
      <c r="H17" s="94">
        <v>45562.65</v>
      </c>
      <c r="I17" s="62"/>
      <c r="J17" s="62"/>
      <c r="K17" s="62">
        <v>10.5</v>
      </c>
      <c r="L17" s="62"/>
      <c r="M17" s="62"/>
      <c r="N17" s="62"/>
      <c r="O17" s="62"/>
      <c r="P17" s="73">
        <v>3408</v>
      </c>
      <c r="Q17" s="77">
        <f>+'Coal stations OS DATA'!B12</f>
        <v>0</v>
      </c>
      <c r="R17" s="78"/>
      <c r="S17" s="62"/>
      <c r="T17" s="62"/>
      <c r="U17" s="62"/>
      <c r="V17" s="62"/>
      <c r="W17" s="62"/>
      <c r="X17" s="62"/>
    </row>
    <row r="21" spans="1:13" ht="15">
      <c r="A21" s="178"/>
      <c r="B21" s="178"/>
      <c r="C21" s="71">
        <v>12</v>
      </c>
      <c r="D21" s="71">
        <v>13</v>
      </c>
      <c r="E21" s="71">
        <v>14</v>
      </c>
      <c r="F21" s="100">
        <v>15</v>
      </c>
      <c r="G21" s="100">
        <v>16</v>
      </c>
      <c r="H21" s="62">
        <v>17</v>
      </c>
      <c r="I21" s="62">
        <v>18</v>
      </c>
      <c r="J21" s="62">
        <v>19</v>
      </c>
      <c r="K21" s="62">
        <v>20</v>
      </c>
      <c r="L21" s="62">
        <v>21</v>
      </c>
      <c r="M21" s="62">
        <v>22</v>
      </c>
    </row>
    <row r="22" spans="1:13" ht="15">
      <c r="A22" s="178"/>
      <c r="B22" s="178"/>
      <c r="C22" s="62" t="s">
        <v>17</v>
      </c>
      <c r="D22" s="137" t="s">
        <v>18</v>
      </c>
      <c r="E22" s="62" t="s">
        <v>19</v>
      </c>
      <c r="F22" s="101"/>
      <c r="G22" s="102"/>
      <c r="H22" s="192" t="s">
        <v>105</v>
      </c>
      <c r="I22" s="192"/>
      <c r="J22" s="192"/>
      <c r="K22" s="192"/>
      <c r="L22" s="192"/>
      <c r="M22" s="192"/>
    </row>
    <row r="23" spans="1:13" ht="26.25">
      <c r="A23" s="190" t="s">
        <v>22</v>
      </c>
      <c r="B23" s="191"/>
      <c r="C23" s="72" t="s">
        <v>179</v>
      </c>
      <c r="D23" s="138" t="s">
        <v>182</v>
      </c>
      <c r="E23" s="72" t="s">
        <v>180</v>
      </c>
      <c r="F23" s="100" t="s">
        <v>104</v>
      </c>
      <c r="G23" s="103" t="s">
        <v>154</v>
      </c>
      <c r="H23" s="62" t="s">
        <v>155</v>
      </c>
      <c r="I23" s="62" t="s">
        <v>156</v>
      </c>
      <c r="J23" s="62" t="s">
        <v>157</v>
      </c>
      <c r="K23" s="62" t="s">
        <v>158</v>
      </c>
      <c r="L23" s="62" t="s">
        <v>159</v>
      </c>
      <c r="M23" s="62" t="s">
        <v>160</v>
      </c>
    </row>
    <row r="24" spans="1:13" ht="15" hidden="1">
      <c r="A24" s="179" t="s">
        <v>42</v>
      </c>
      <c r="B24" s="180"/>
      <c r="C24" s="76"/>
      <c r="D24" s="76"/>
      <c r="E24" s="94">
        <v>5063</v>
      </c>
      <c r="F24" s="104">
        <f>+'Coal stations OS DATA'!B5</f>
        <v>0</v>
      </c>
      <c r="G24" s="79">
        <v>720</v>
      </c>
      <c r="H24" s="76"/>
      <c r="I24" s="76"/>
      <c r="J24" s="76"/>
      <c r="K24" s="76"/>
      <c r="L24" s="76"/>
      <c r="M24" s="76"/>
    </row>
    <row r="25" spans="1:13" ht="15">
      <c r="A25" s="179" t="s">
        <v>44</v>
      </c>
      <c r="B25" s="180"/>
      <c r="C25" s="76"/>
      <c r="D25" s="136"/>
      <c r="E25" s="75">
        <v>3757.96</v>
      </c>
      <c r="F25" s="104">
        <v>1120.785</v>
      </c>
      <c r="G25" s="106"/>
      <c r="H25" s="106"/>
      <c r="I25" s="106"/>
      <c r="J25" s="147" t="s">
        <v>189</v>
      </c>
      <c r="K25" s="148">
        <v>0.16041666666666668</v>
      </c>
      <c r="L25" s="106"/>
      <c r="M25" s="107"/>
    </row>
    <row r="26" spans="1:13" ht="15">
      <c r="A26" s="182" t="s">
        <v>39</v>
      </c>
      <c r="B26" s="183"/>
      <c r="C26" s="76"/>
      <c r="D26" s="136"/>
      <c r="E26" s="75">
        <v>3987</v>
      </c>
      <c r="F26" s="104">
        <v>1065.7545</v>
      </c>
      <c r="G26" s="80"/>
      <c r="H26" s="106"/>
      <c r="I26" s="154">
        <v>3.1861111111111113</v>
      </c>
      <c r="J26" s="147" t="s">
        <v>188</v>
      </c>
      <c r="K26" s="148">
        <v>0.34861111111111115</v>
      </c>
      <c r="L26" s="106"/>
      <c r="M26" s="107"/>
    </row>
    <row r="27" spans="1:13" ht="15">
      <c r="A27" s="182" t="s">
        <v>43</v>
      </c>
      <c r="B27" s="183"/>
      <c r="C27" s="76"/>
      <c r="D27" s="136"/>
      <c r="E27" s="75">
        <v>3973</v>
      </c>
      <c r="F27" s="104">
        <v>1113.933</v>
      </c>
      <c r="G27" s="106"/>
      <c r="H27" s="106"/>
      <c r="I27" s="106"/>
      <c r="J27" s="106"/>
      <c r="K27" s="106"/>
      <c r="L27" s="147" t="s">
        <v>191</v>
      </c>
      <c r="M27" s="107"/>
    </row>
    <row r="28" spans="1:13" ht="15">
      <c r="A28" s="179" t="s">
        <v>40</v>
      </c>
      <c r="B28" s="180"/>
      <c r="C28" s="76"/>
      <c r="D28" s="136"/>
      <c r="E28" s="75">
        <v>3023</v>
      </c>
      <c r="F28" s="104">
        <v>918.4176</v>
      </c>
      <c r="G28" s="147" t="s">
        <v>209</v>
      </c>
      <c r="H28" s="147" t="s">
        <v>186</v>
      </c>
      <c r="I28" s="147" t="s">
        <v>187</v>
      </c>
      <c r="J28" s="147" t="s">
        <v>210</v>
      </c>
      <c r="K28" s="106"/>
      <c r="L28" s="106"/>
      <c r="M28" s="107"/>
    </row>
    <row r="29" spans="1:65" s="82" customFormat="1" ht="15">
      <c r="A29" s="179" t="s">
        <v>53</v>
      </c>
      <c r="B29" s="180"/>
      <c r="C29" s="76"/>
      <c r="D29" s="136"/>
      <c r="E29" s="75">
        <v>3009</v>
      </c>
      <c r="F29" s="104">
        <v>1089.3096</v>
      </c>
      <c r="G29" s="106"/>
      <c r="H29" s="106"/>
      <c r="I29" s="106"/>
      <c r="J29" s="106"/>
      <c r="K29" s="147" t="s">
        <v>190</v>
      </c>
      <c r="L29" s="147" t="s">
        <v>192</v>
      </c>
      <c r="M29" s="107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</row>
    <row r="30" spans="1:13" ht="15">
      <c r="A30" s="179" t="s">
        <v>41</v>
      </c>
      <c r="B30" s="180"/>
      <c r="C30" s="76"/>
      <c r="D30" s="136"/>
      <c r="E30" s="75">
        <v>2891</v>
      </c>
      <c r="F30" s="104">
        <v>1091.235</v>
      </c>
      <c r="G30" s="154">
        <v>3.0638888888888887</v>
      </c>
      <c r="H30" s="106"/>
      <c r="I30" s="147"/>
      <c r="J30" s="106"/>
      <c r="K30" s="147"/>
      <c r="L30" s="147"/>
      <c r="M30" s="107"/>
    </row>
    <row r="33" ht="12.75">
      <c r="A33" s="152" t="s">
        <v>208</v>
      </c>
    </row>
    <row r="35" spans="1:13" ht="15">
      <c r="A35" s="172" t="s">
        <v>77</v>
      </c>
      <c r="B35" s="100">
        <v>23</v>
      </c>
      <c r="C35" s="100">
        <v>24</v>
      </c>
      <c r="D35" s="100">
        <v>25</v>
      </c>
      <c r="E35" s="62">
        <v>26</v>
      </c>
      <c r="F35" s="100">
        <v>27</v>
      </c>
      <c r="G35" s="100">
        <v>28</v>
      </c>
      <c r="H35" s="100">
        <v>29</v>
      </c>
      <c r="I35" s="100">
        <v>30</v>
      </c>
      <c r="J35" s="100">
        <v>31</v>
      </c>
      <c r="K35" s="100">
        <v>32</v>
      </c>
      <c r="L35" s="100">
        <v>33</v>
      </c>
      <c r="M35" s="100">
        <v>34</v>
      </c>
    </row>
    <row r="36" spans="1:13" ht="30">
      <c r="A36" s="173"/>
      <c r="B36" s="100"/>
      <c r="C36" s="100"/>
      <c r="D36" s="100"/>
      <c r="E36" s="62"/>
      <c r="F36" s="101" t="s">
        <v>80</v>
      </c>
      <c r="G36" s="108" t="s">
        <v>163</v>
      </c>
      <c r="H36" s="101" t="s">
        <v>80</v>
      </c>
      <c r="I36" s="101"/>
      <c r="J36" s="109"/>
      <c r="K36" s="101"/>
      <c r="L36" s="101"/>
      <c r="M36" s="101"/>
    </row>
    <row r="37" spans="1:13" ht="30">
      <c r="A37" s="174"/>
      <c r="B37" s="100" t="s">
        <v>6</v>
      </c>
      <c r="C37" s="100" t="s">
        <v>161</v>
      </c>
      <c r="D37" s="100" t="s">
        <v>162</v>
      </c>
      <c r="E37" s="62" t="s">
        <v>104</v>
      </c>
      <c r="F37" s="100" t="s">
        <v>106</v>
      </c>
      <c r="G37" s="100" t="s">
        <v>107</v>
      </c>
      <c r="H37" s="100" t="s">
        <v>106</v>
      </c>
      <c r="I37" s="100" t="s">
        <v>108</v>
      </c>
      <c r="J37" s="110" t="s">
        <v>109</v>
      </c>
      <c r="K37" s="111" t="s">
        <v>110</v>
      </c>
      <c r="L37" s="100" t="s">
        <v>111</v>
      </c>
      <c r="M37" s="100" t="s">
        <v>112</v>
      </c>
    </row>
    <row r="38" spans="1:13" ht="15" hidden="1">
      <c r="A38" s="112" t="s">
        <v>124</v>
      </c>
      <c r="B38" s="107">
        <v>250</v>
      </c>
      <c r="C38" s="107">
        <v>9</v>
      </c>
      <c r="D38" s="107">
        <v>2375</v>
      </c>
      <c r="E38" s="97">
        <v>0</v>
      </c>
      <c r="F38" s="113">
        <f>+'Coal stations OS DATA'!D5</f>
        <v>0</v>
      </c>
      <c r="G38" s="114">
        <v>0</v>
      </c>
      <c r="H38" s="113">
        <f>+F38-G38</f>
        <v>0</v>
      </c>
      <c r="I38" s="113">
        <f>+'Coal stations OS DATA'!E5</f>
        <v>0</v>
      </c>
      <c r="J38" s="113">
        <f>+'Coal stations OS DATA'!C5</f>
        <v>0</v>
      </c>
      <c r="K38" s="107"/>
      <c r="L38" s="107"/>
      <c r="M38" s="107"/>
    </row>
    <row r="39" spans="1:13" ht="15">
      <c r="A39" s="115" t="s">
        <v>122</v>
      </c>
      <c r="B39" s="107">
        <v>1320</v>
      </c>
      <c r="C39" s="107">
        <v>5.75</v>
      </c>
      <c r="D39" s="107">
        <v>2248</v>
      </c>
      <c r="E39" s="97">
        <v>1120.785</v>
      </c>
      <c r="F39" s="113">
        <v>1187.12727643</v>
      </c>
      <c r="G39" s="113">
        <v>14.318437175999998</v>
      </c>
      <c r="H39" s="113">
        <f aca="true" t="shared" si="0" ref="H39:H45">+F39-G39</f>
        <v>1172.8088392539998</v>
      </c>
      <c r="I39" s="113">
        <v>1141.0636884070002</v>
      </c>
      <c r="J39" s="113">
        <v>1375.0204375000005</v>
      </c>
      <c r="K39" s="107"/>
      <c r="L39" s="116">
        <v>3811.99</v>
      </c>
      <c r="M39" s="116">
        <f aca="true" t="shared" si="1" ref="M39:M44">+E25</f>
        <v>3757.96</v>
      </c>
    </row>
    <row r="40" spans="1:13" ht="15">
      <c r="A40" s="129" t="s">
        <v>39</v>
      </c>
      <c r="B40" s="116">
        <f>+C12</f>
        <v>1600</v>
      </c>
      <c r="C40" s="107">
        <v>6.47</v>
      </c>
      <c r="D40" s="107">
        <v>2403</v>
      </c>
      <c r="E40" s="97">
        <v>1065.7545</v>
      </c>
      <c r="F40" s="113">
        <v>1238.4512432459999</v>
      </c>
      <c r="G40" s="113">
        <v>20.52974076525</v>
      </c>
      <c r="H40" s="113">
        <f t="shared" si="0"/>
        <v>1217.92150248075</v>
      </c>
      <c r="I40" s="113">
        <v>1221.141057315</v>
      </c>
      <c r="J40" s="113">
        <v>1569.2048725</v>
      </c>
      <c r="K40" s="107"/>
      <c r="L40" s="116">
        <f aca="true" t="shared" si="2" ref="L40:L45">+G12</f>
        <v>4600.30543050989</v>
      </c>
      <c r="M40" s="116">
        <f t="shared" si="1"/>
        <v>3987</v>
      </c>
    </row>
    <row r="41" spans="1:13" ht="15">
      <c r="A41" s="112" t="s">
        <v>43</v>
      </c>
      <c r="B41" s="139">
        <f>+(425*17+475*30)/47</f>
        <v>456.9148936170213</v>
      </c>
      <c r="C41" s="107">
        <v>5.75</v>
      </c>
      <c r="D41" s="107">
        <v>2436.63</v>
      </c>
      <c r="E41" s="97">
        <v>1113.933</v>
      </c>
      <c r="F41" s="113">
        <v>360.73799211399995</v>
      </c>
      <c r="G41" s="113">
        <v>29.328937513</v>
      </c>
      <c r="H41" s="113">
        <v>331.409054601</v>
      </c>
      <c r="I41" s="113">
        <v>355.325873554</v>
      </c>
      <c r="J41" s="113">
        <v>470.67917499999993</v>
      </c>
      <c r="K41" s="107"/>
      <c r="L41" s="116">
        <f t="shared" si="2"/>
        <v>4600.31</v>
      </c>
      <c r="M41" s="116">
        <f t="shared" si="1"/>
        <v>3973</v>
      </c>
    </row>
    <row r="42" spans="1:13" ht="15">
      <c r="A42" s="112" t="s">
        <v>40</v>
      </c>
      <c r="B42" s="107">
        <f>+C14</f>
        <v>840</v>
      </c>
      <c r="C42" s="107">
        <v>9</v>
      </c>
      <c r="D42" s="107">
        <v>2450</v>
      </c>
      <c r="E42" s="97">
        <v>918.4176</v>
      </c>
      <c r="F42" s="113">
        <v>595.7397653329998</v>
      </c>
      <c r="G42" s="113">
        <v>9.55656582475</v>
      </c>
      <c r="H42" s="113">
        <f t="shared" si="0"/>
        <v>586.1831995082498</v>
      </c>
      <c r="I42" s="113">
        <v>584.9004350029999</v>
      </c>
      <c r="J42" s="113">
        <v>697.2790250000003</v>
      </c>
      <c r="K42" s="107"/>
      <c r="L42" s="116">
        <f t="shared" si="2"/>
        <v>3016.93</v>
      </c>
      <c r="M42" s="116">
        <f t="shared" si="1"/>
        <v>3023</v>
      </c>
    </row>
    <row r="43" spans="1:13" ht="15">
      <c r="A43" s="112" t="s">
        <v>121</v>
      </c>
      <c r="B43" s="116">
        <f>+C15</f>
        <v>1500</v>
      </c>
      <c r="C43" s="107">
        <v>5.75</v>
      </c>
      <c r="D43" s="107">
        <v>2425</v>
      </c>
      <c r="E43" s="97">
        <v>1089.3096</v>
      </c>
      <c r="F43" s="113">
        <v>1227.669865359</v>
      </c>
      <c r="G43" s="113">
        <v>44.14039378324999</v>
      </c>
      <c r="H43" s="113">
        <f t="shared" si="0"/>
        <v>1183.52947157575</v>
      </c>
      <c r="I43" s="113">
        <v>1221.467342239</v>
      </c>
      <c r="J43" s="113">
        <v>1530.8213125</v>
      </c>
      <c r="K43" s="107"/>
      <c r="L43" s="116">
        <f t="shared" si="2"/>
        <v>3023.96</v>
      </c>
      <c r="M43" s="116">
        <f t="shared" si="1"/>
        <v>3009</v>
      </c>
    </row>
    <row r="44" spans="1:13" ht="15">
      <c r="A44" s="112" t="s">
        <v>41</v>
      </c>
      <c r="B44" s="116">
        <f>+C16</f>
        <v>1000</v>
      </c>
      <c r="C44" s="107">
        <v>5.25</v>
      </c>
      <c r="D44" s="107">
        <v>2375</v>
      </c>
      <c r="E44" s="97">
        <v>1091.235</v>
      </c>
      <c r="F44" s="113">
        <v>930.0099826860001</v>
      </c>
      <c r="G44" s="113">
        <v>-2.9125719757499993</v>
      </c>
      <c r="H44" s="113">
        <f t="shared" si="0"/>
        <v>932.92255466175</v>
      </c>
      <c r="I44" s="113">
        <v>925.602515641</v>
      </c>
      <c r="J44" s="113">
        <v>966.957625</v>
      </c>
      <c r="K44" s="107"/>
      <c r="L44" s="116">
        <f t="shared" si="2"/>
        <v>2029.94</v>
      </c>
      <c r="M44" s="116">
        <f t="shared" si="1"/>
        <v>2891</v>
      </c>
    </row>
    <row r="45" spans="1:13" ht="15" hidden="1">
      <c r="A45" s="112" t="s">
        <v>123</v>
      </c>
      <c r="B45" s="107">
        <f>+C17</f>
        <v>460</v>
      </c>
      <c r="C45" s="107">
        <v>10.5</v>
      </c>
      <c r="D45" s="107">
        <v>2850</v>
      </c>
      <c r="E45" s="96">
        <v>1059.127</v>
      </c>
      <c r="F45" s="113">
        <f>+'Coal stations OS DATA'!D12</f>
        <v>0</v>
      </c>
      <c r="G45" s="114">
        <v>0</v>
      </c>
      <c r="H45" s="113">
        <f t="shared" si="0"/>
        <v>0</v>
      </c>
      <c r="I45" s="105">
        <v>441.2408</v>
      </c>
      <c r="J45" s="105">
        <v>441.35325</v>
      </c>
      <c r="K45" s="107"/>
      <c r="L45" s="116">
        <f t="shared" si="2"/>
        <v>1748.12</v>
      </c>
      <c r="M45" s="116">
        <f>+P17</f>
        <v>3408</v>
      </c>
    </row>
    <row r="48" spans="1:13" ht="15">
      <c r="A48" s="172" t="s">
        <v>77</v>
      </c>
      <c r="B48" s="100">
        <v>35</v>
      </c>
      <c r="C48" s="100">
        <v>36</v>
      </c>
      <c r="D48" s="100">
        <v>37</v>
      </c>
      <c r="E48" s="100">
        <v>38</v>
      </c>
      <c r="F48" s="100">
        <v>39</v>
      </c>
      <c r="G48" s="100">
        <v>40</v>
      </c>
      <c r="H48" s="100">
        <v>41</v>
      </c>
      <c r="I48" s="100">
        <v>42</v>
      </c>
      <c r="J48" s="100">
        <v>43</v>
      </c>
      <c r="K48" s="100">
        <v>44</v>
      </c>
      <c r="L48" s="100">
        <v>45</v>
      </c>
      <c r="M48" s="100">
        <v>46</v>
      </c>
    </row>
    <row r="49" spans="1:13" ht="45">
      <c r="A49" s="173"/>
      <c r="B49" s="101"/>
      <c r="C49" s="101"/>
      <c r="D49" s="108"/>
      <c r="E49" s="108"/>
      <c r="F49" s="91" t="s">
        <v>183</v>
      </c>
      <c r="G49" s="108" t="s">
        <v>84</v>
      </c>
      <c r="H49" s="91" t="s">
        <v>194</v>
      </c>
      <c r="I49" s="91" t="s">
        <v>195</v>
      </c>
      <c r="J49" s="91" t="s">
        <v>196</v>
      </c>
      <c r="K49" s="91" t="s">
        <v>197</v>
      </c>
      <c r="L49" s="108" t="s">
        <v>89</v>
      </c>
      <c r="M49" s="91" t="s">
        <v>198</v>
      </c>
    </row>
    <row r="50" spans="1:13" ht="15">
      <c r="A50" s="174"/>
      <c r="B50" s="150" t="s">
        <v>113</v>
      </c>
      <c r="C50" s="151" t="s">
        <v>185</v>
      </c>
      <c r="D50" s="111" t="s">
        <v>164</v>
      </c>
      <c r="E50" s="111" t="s">
        <v>116</v>
      </c>
      <c r="F50" s="108" t="s">
        <v>117</v>
      </c>
      <c r="G50" s="133" t="s">
        <v>118</v>
      </c>
      <c r="H50" s="111"/>
      <c r="I50" s="111"/>
      <c r="J50" s="111"/>
      <c r="K50" s="111"/>
      <c r="L50" s="111"/>
      <c r="M50" s="111"/>
    </row>
    <row r="51" spans="1:13" ht="15" hidden="1">
      <c r="A51" s="112" t="s">
        <v>124</v>
      </c>
      <c r="B51" s="107"/>
      <c r="C51" s="107"/>
      <c r="D51" s="104">
        <f>+'Coal stations OS DATA'!G5</f>
        <v>0</v>
      </c>
      <c r="E51" s="104">
        <f>+'Coal stations OS DATA'!H5</f>
        <v>0</v>
      </c>
      <c r="F51" s="89" t="e">
        <f aca="true" t="shared" si="3" ref="F51:F58">(((MAX(I38,H38)*10^3)/(B38*F24*(1-0.01*C38)))*100)</f>
        <v>#DIV/0!</v>
      </c>
      <c r="G51" s="117" t="e">
        <f aca="true" t="shared" si="4" ref="G51:G58">IF(F51&gt;=85,"NO","YES")</f>
        <v>#DIV/0!</v>
      </c>
      <c r="H51" s="118" t="e">
        <f>IF(F51&gt;=85,0,IF(F51&gt;=75,2.25,IF(F51&gt;=65,4,IF(F51&gt;=55,6,6))))</f>
        <v>#DIV/0!</v>
      </c>
      <c r="I51" s="118" t="e">
        <f aca="true" t="shared" si="5" ref="I51:I58">IF(F51&gt;=85,0,IF(F51&gt;=75,0.35,IF(F51&gt;=65,0.65,IF(F51&gt;=55,1,1))))</f>
        <v>#DIV/0!</v>
      </c>
      <c r="J51" s="119" t="e">
        <f aca="true" t="shared" si="6" ref="J51:J58">IF(G51="NO",0,(D38*(1+H51*0.01)))</f>
        <v>#DIV/0!</v>
      </c>
      <c r="K51" s="119" t="e">
        <f aca="true" t="shared" si="7" ref="K51:K58">IF(G51="NO",0,(C38+I51))</f>
        <v>#DIV/0!</v>
      </c>
      <c r="L51" s="120" t="e">
        <f aca="true" t="shared" si="8" ref="L51:L57">IF(G51="NO",0,((J38)*10^3)/(B38*F24*(1-0.01*C38))*100)</f>
        <v>#DIV/0!</v>
      </c>
      <c r="M51" s="118" t="e">
        <f>IF(L51=0,0,IF(L51&gt;=85,0,IF(L51&gt;=75,2.25,IF(L51&gt;=65,4,IF(L51&gt;=55,6,6)))))</f>
        <v>#DIV/0!</v>
      </c>
    </row>
    <row r="52" spans="1:13" ht="15">
      <c r="A52" s="115" t="s">
        <v>122</v>
      </c>
      <c r="B52" s="116">
        <f aca="true" t="shared" si="9" ref="B52:B58">+F11</f>
        <v>9542.26</v>
      </c>
      <c r="C52" s="134">
        <f aca="true" t="shared" si="10" ref="C52:C58">+H11/1000000</f>
        <v>0.05064502</v>
      </c>
      <c r="D52" s="104">
        <v>5.32525</v>
      </c>
      <c r="E52" s="104">
        <v>2491</v>
      </c>
      <c r="F52" s="89">
        <f t="shared" si="3"/>
        <v>84.11038685850916</v>
      </c>
      <c r="G52" s="117" t="str">
        <f t="shared" si="4"/>
        <v>YES</v>
      </c>
      <c r="H52" s="118">
        <f>IF(F52&gt;=85,0,IF(F52&gt;=75,1.25,IF(F52&gt;=65,2,IF(F52&gt;=55,3,3))))</f>
        <v>1.25</v>
      </c>
      <c r="I52" s="118">
        <f t="shared" si="5"/>
        <v>0.35</v>
      </c>
      <c r="J52" s="119">
        <f t="shared" si="6"/>
        <v>2276.1</v>
      </c>
      <c r="K52" s="120">
        <f t="shared" si="7"/>
        <v>6.1</v>
      </c>
      <c r="L52" s="120">
        <f t="shared" si="8"/>
        <v>98.61240559036581</v>
      </c>
      <c r="M52" s="118">
        <f>IF(L52=0,0,IF(L52&gt;=85,0,IF(L52&gt;=75,1.25,IF(L52&gt;=65,2,IF(L52&gt;=55,3,3)))))</f>
        <v>0</v>
      </c>
    </row>
    <row r="53" spans="1:13" ht="15">
      <c r="A53" s="129" t="s">
        <v>39</v>
      </c>
      <c r="B53" s="116">
        <f t="shared" si="9"/>
        <v>9674</v>
      </c>
      <c r="C53" s="134">
        <f t="shared" si="10"/>
        <v>0.02658855589061239</v>
      </c>
      <c r="D53" s="104">
        <v>7.97</v>
      </c>
      <c r="E53" s="104">
        <v>2494</v>
      </c>
      <c r="F53" s="95">
        <f t="shared" si="3"/>
        <v>76.56631421094565</v>
      </c>
      <c r="G53" s="121" t="str">
        <f t="shared" si="4"/>
        <v>YES</v>
      </c>
      <c r="H53" s="122">
        <f aca="true" t="shared" si="11" ref="H53:H58">IF(F53&gt;=85,0,IF(F53&gt;=75,2.25,IF(F53&gt;=65,4,IF(F53&gt;=55,6,6))))</f>
        <v>2.25</v>
      </c>
      <c r="I53" s="122">
        <f t="shared" si="5"/>
        <v>0.35</v>
      </c>
      <c r="J53" s="123">
        <f t="shared" si="6"/>
        <v>2457.0675</v>
      </c>
      <c r="K53" s="123">
        <f t="shared" si="7"/>
        <v>6.819999999999999</v>
      </c>
      <c r="L53" s="124">
        <f t="shared" si="8"/>
        <v>98.39013487381992</v>
      </c>
      <c r="M53" s="122">
        <f aca="true" t="shared" si="12" ref="M53:M58">IF(L53=0,0,IF(L53&gt;=85,0,IF(L53&gt;=75,2.25,IF(L53&gt;=65,4,IF(L53&gt;=55,6,6)))))</f>
        <v>0</v>
      </c>
    </row>
    <row r="54" spans="1:13" ht="15">
      <c r="A54" s="112" t="s">
        <v>43</v>
      </c>
      <c r="B54" s="116">
        <f t="shared" si="9"/>
        <v>9725</v>
      </c>
      <c r="C54" s="134">
        <f t="shared" si="10"/>
        <v>0.02658855589061239</v>
      </c>
      <c r="D54" s="104">
        <v>6.87</v>
      </c>
      <c r="E54" s="104">
        <v>2513</v>
      </c>
      <c r="F54" s="89">
        <f t="shared" si="3"/>
        <v>74.07149137724276</v>
      </c>
      <c r="G54" s="117" t="str">
        <f t="shared" si="4"/>
        <v>YES</v>
      </c>
      <c r="H54" s="118">
        <f t="shared" si="11"/>
        <v>4</v>
      </c>
      <c r="I54" s="118">
        <f t="shared" si="5"/>
        <v>0.65</v>
      </c>
      <c r="J54" s="119">
        <f t="shared" si="6"/>
        <v>2534.0952</v>
      </c>
      <c r="K54" s="119">
        <f t="shared" si="7"/>
        <v>6.4</v>
      </c>
      <c r="L54" s="120">
        <f t="shared" si="8"/>
        <v>98.11812493064019</v>
      </c>
      <c r="M54" s="118">
        <f t="shared" si="12"/>
        <v>0</v>
      </c>
    </row>
    <row r="55" spans="1:13" ht="15">
      <c r="A55" s="112" t="s">
        <v>40</v>
      </c>
      <c r="B55" s="116">
        <f t="shared" si="9"/>
        <v>9937</v>
      </c>
      <c r="C55" s="134">
        <f t="shared" si="10"/>
        <v>0.03102971</v>
      </c>
      <c r="D55" s="104">
        <v>9.5807</v>
      </c>
      <c r="E55" s="104">
        <v>2450.82</v>
      </c>
      <c r="F55" s="89">
        <f t="shared" si="3"/>
        <v>83.49731129895616</v>
      </c>
      <c r="G55" s="117" t="str">
        <f t="shared" si="4"/>
        <v>YES</v>
      </c>
      <c r="H55" s="118">
        <f t="shared" si="11"/>
        <v>2.25</v>
      </c>
      <c r="I55" s="118">
        <f t="shared" si="5"/>
        <v>0.35</v>
      </c>
      <c r="J55" s="119">
        <f t="shared" si="6"/>
        <v>2505.125</v>
      </c>
      <c r="K55" s="119">
        <f t="shared" si="7"/>
        <v>9.35</v>
      </c>
      <c r="L55" s="120">
        <f t="shared" si="8"/>
        <v>99.32206153553923</v>
      </c>
      <c r="M55" s="118">
        <f t="shared" si="12"/>
        <v>0</v>
      </c>
    </row>
    <row r="56" spans="1:13" ht="15">
      <c r="A56" s="112" t="s">
        <v>121</v>
      </c>
      <c r="B56" s="116">
        <f t="shared" si="9"/>
        <v>9921</v>
      </c>
      <c r="C56" s="134">
        <f t="shared" si="10"/>
        <v>0.031916400000000004</v>
      </c>
      <c r="D56" s="104">
        <v>5.7731</v>
      </c>
      <c r="E56" s="104">
        <v>2415.07</v>
      </c>
      <c r="F56" s="89">
        <f t="shared" si="3"/>
        <v>79.31547162317942</v>
      </c>
      <c r="G56" s="117" t="str">
        <f t="shared" si="4"/>
        <v>YES</v>
      </c>
      <c r="H56" s="118">
        <f t="shared" si="11"/>
        <v>2.25</v>
      </c>
      <c r="I56" s="118">
        <f t="shared" si="5"/>
        <v>0.35</v>
      </c>
      <c r="J56" s="119">
        <f t="shared" si="6"/>
        <v>2479.5625</v>
      </c>
      <c r="K56" s="119">
        <f t="shared" si="7"/>
        <v>6.1</v>
      </c>
      <c r="L56" s="120">
        <f t="shared" si="8"/>
        <v>99.40324245524909</v>
      </c>
      <c r="M56" s="118">
        <f t="shared" si="12"/>
        <v>0</v>
      </c>
    </row>
    <row r="57" spans="1:13" ht="15">
      <c r="A57" s="112" t="s">
        <v>41</v>
      </c>
      <c r="B57" s="116">
        <f t="shared" si="9"/>
        <v>9993</v>
      </c>
      <c r="C57" s="134">
        <f t="shared" si="10"/>
        <v>0.02859811</v>
      </c>
      <c r="D57" s="104">
        <v>7.76</v>
      </c>
      <c r="E57" s="104">
        <v>2477</v>
      </c>
      <c r="F57" s="89">
        <f t="shared" si="3"/>
        <v>90.2294036954547</v>
      </c>
      <c r="G57" s="117" t="str">
        <f t="shared" si="4"/>
        <v>NO</v>
      </c>
      <c r="H57" s="118">
        <f t="shared" si="11"/>
        <v>0</v>
      </c>
      <c r="I57" s="118">
        <f t="shared" si="5"/>
        <v>0</v>
      </c>
      <c r="J57" s="119">
        <f t="shared" si="6"/>
        <v>0</v>
      </c>
      <c r="K57" s="119">
        <f t="shared" si="7"/>
        <v>0</v>
      </c>
      <c r="L57" s="120">
        <f t="shared" si="8"/>
        <v>0</v>
      </c>
      <c r="M57" s="118">
        <f t="shared" si="12"/>
        <v>0</v>
      </c>
    </row>
    <row r="58" spans="1:13" ht="15" hidden="1">
      <c r="A58" s="112" t="s">
        <v>123</v>
      </c>
      <c r="B58" s="116">
        <f t="shared" si="9"/>
        <v>9428</v>
      </c>
      <c r="C58" s="107">
        <f t="shared" si="10"/>
        <v>0.04556265</v>
      </c>
      <c r="D58" s="105">
        <v>10.427</v>
      </c>
      <c r="E58" s="105">
        <v>2840</v>
      </c>
      <c r="F58" s="89" t="e">
        <f t="shared" si="3"/>
        <v>#DIV/0!</v>
      </c>
      <c r="G58" s="117" t="e">
        <f t="shared" si="4"/>
        <v>#DIV/0!</v>
      </c>
      <c r="H58" s="118" t="e">
        <f t="shared" si="11"/>
        <v>#DIV/0!</v>
      </c>
      <c r="I58" s="118" t="e">
        <f t="shared" si="5"/>
        <v>#DIV/0!</v>
      </c>
      <c r="J58" s="119" t="e">
        <f t="shared" si="6"/>
        <v>#DIV/0!</v>
      </c>
      <c r="K58" s="119" t="e">
        <f t="shared" si="7"/>
        <v>#DIV/0!</v>
      </c>
      <c r="L58" s="120" t="e">
        <f>IF(G58="NO",0,((J45)*10^3)/(B45*Q17*(1-0.01*C45))*100)</f>
        <v>#DIV/0!</v>
      </c>
      <c r="M58" s="118" t="e">
        <f t="shared" si="12"/>
        <v>#DIV/0!</v>
      </c>
    </row>
    <row r="61" spans="1:13" ht="15">
      <c r="A61" s="172" t="s">
        <v>77</v>
      </c>
      <c r="B61" s="100">
        <v>47</v>
      </c>
      <c r="C61" s="100">
        <v>48</v>
      </c>
      <c r="D61" s="100">
        <v>49</v>
      </c>
      <c r="E61" s="100">
        <v>50</v>
      </c>
      <c r="F61" s="100">
        <v>51</v>
      </c>
      <c r="G61" s="100">
        <v>52</v>
      </c>
      <c r="H61" s="100">
        <v>53</v>
      </c>
      <c r="I61" s="100">
        <v>54</v>
      </c>
      <c r="J61" s="100">
        <v>55</v>
      </c>
      <c r="K61" s="100">
        <v>56</v>
      </c>
      <c r="L61" s="100">
        <v>57</v>
      </c>
      <c r="M61" s="62">
        <v>58</v>
      </c>
    </row>
    <row r="62" spans="1:13" ht="30">
      <c r="A62" s="173"/>
      <c r="B62" s="91" t="s">
        <v>199</v>
      </c>
      <c r="C62" s="91" t="s">
        <v>200</v>
      </c>
      <c r="D62" s="91" t="s">
        <v>201</v>
      </c>
      <c r="E62" s="91" t="s">
        <v>203</v>
      </c>
      <c r="F62" s="91" t="s">
        <v>202</v>
      </c>
      <c r="G62" s="91" t="s">
        <v>204</v>
      </c>
      <c r="H62" s="91" t="s">
        <v>205</v>
      </c>
      <c r="I62" s="108" t="s">
        <v>98</v>
      </c>
      <c r="J62" s="108" t="s">
        <v>99</v>
      </c>
      <c r="K62" s="108" t="s">
        <v>100</v>
      </c>
      <c r="L62" s="108" t="s">
        <v>101</v>
      </c>
      <c r="M62" s="108" t="s">
        <v>101</v>
      </c>
    </row>
    <row r="63" spans="1:13" ht="15">
      <c r="A63" s="174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25" t="s">
        <v>119</v>
      </c>
      <c r="M63" s="62" t="s">
        <v>137</v>
      </c>
    </row>
    <row r="64" spans="1:13" ht="15" hidden="1">
      <c r="A64" s="112" t="s">
        <v>124</v>
      </c>
      <c r="B64" s="118" t="e">
        <f aca="true" t="shared" si="13" ref="B64:B71">IF(L51=0,0,IF(L51&gt;=85,0,IF(L51&gt;=75,0.35,IF(L51&gt;=65,0.65,IF(L51&gt;=55,1,1)))))</f>
        <v>#DIV/0!</v>
      </c>
      <c r="C64" s="119" t="e">
        <f aca="true" t="shared" si="14" ref="C64:C71">IF(G51="NO",0,($D38*(1+M51*0.01)))</f>
        <v>#DIV/0!</v>
      </c>
      <c r="D64" s="119" t="e">
        <f aca="true" t="shared" si="15" ref="D64:D71">IF(G51="NO",0,(C38+B64))</f>
        <v>#DIV/0!</v>
      </c>
      <c r="E64" s="126" t="e">
        <f aca="true" t="shared" si="16" ref="E64:E71">IF(G51="NO",0,ROUND((((($D38-0.0005*B51)*(L38*0.001/M38))+(0.5*C51))/(100-$C38))*100,3))</f>
        <v>#DIV/0!</v>
      </c>
      <c r="F64" s="118" t="e">
        <f aca="true" t="shared" si="17" ref="F64:F71">IF(G51="NO",0,ROUND((((($E51-0.0005*B51)*(L38*0.001/M38))+(0.5*C51))/(100-$D51))*100,3))</f>
        <v>#DIV/0!</v>
      </c>
      <c r="G64" s="118" t="e">
        <f aca="true" t="shared" si="18" ref="G64:G71">IF(G51="NO",0,ROUND((((($J51-0.0005*B51)*(L38*0.001/M38))+(0.5*C51))/(100-$K51))*100,3))</f>
        <v>#DIV/0!</v>
      </c>
      <c r="H64" s="118" t="e">
        <f aca="true" t="shared" si="19" ref="H64:H71">IF(G51="NO",0,ROUND((((($C64-0.0005*B51)*(L38*0.001/M38))+(0.5*C51))/(100-$D64))*100,3))</f>
        <v>#DIV/0!</v>
      </c>
      <c r="I64" s="118" t="e">
        <f aca="true" t="shared" si="20" ref="I64:I71">IF(G64&gt;H64,G64-H64,0)</f>
        <v>#DIV/0!</v>
      </c>
      <c r="J64" s="126" t="e">
        <f aca="true" t="shared" si="21" ref="J64:J71">IF(F64&gt;E64,F64-E64,0)</f>
        <v>#DIV/0!</v>
      </c>
      <c r="K64" s="126" t="e">
        <f aca="true" t="shared" si="22" ref="K64:K71">MIN(I64,J64)</f>
        <v>#DIV/0!</v>
      </c>
      <c r="L64" s="127" t="e">
        <f aca="true" t="shared" si="23" ref="L64:L71">K64*H38/10</f>
        <v>#DIV/0!</v>
      </c>
      <c r="M64" s="90"/>
    </row>
    <row r="65" spans="1:13" ht="15">
      <c r="A65" s="115" t="s">
        <v>122</v>
      </c>
      <c r="B65" s="118">
        <f t="shared" si="13"/>
        <v>0</v>
      </c>
      <c r="C65" s="119">
        <f t="shared" si="14"/>
        <v>2248</v>
      </c>
      <c r="D65" s="119">
        <f t="shared" si="15"/>
        <v>5.75</v>
      </c>
      <c r="E65" s="126">
        <f t="shared" si="16"/>
        <v>2.441</v>
      </c>
      <c r="F65" s="118">
        <f>IF(G52="NO",0,ROUND((((($E52-0.0005*B52)*(L39*0.001/M39))+(0.5*C52))/(100-$D52))*100,3))</f>
        <v>2.691</v>
      </c>
      <c r="G65" s="118">
        <f t="shared" si="18"/>
        <v>2.481</v>
      </c>
      <c r="H65" s="118">
        <f t="shared" si="19"/>
        <v>2.441</v>
      </c>
      <c r="I65" s="128">
        <f t="shared" si="20"/>
        <v>0.040000000000000036</v>
      </c>
      <c r="J65" s="128">
        <f t="shared" si="21"/>
        <v>0.25</v>
      </c>
      <c r="K65" s="128">
        <f t="shared" si="22"/>
        <v>0.040000000000000036</v>
      </c>
      <c r="L65" s="128">
        <f t="shared" si="23"/>
        <v>4.691235357016003</v>
      </c>
      <c r="M65" s="144">
        <f aca="true" t="shared" si="24" ref="M65:M70">+L65*10000000</f>
        <v>46912353.57016003</v>
      </c>
    </row>
    <row r="66" spans="1:13" s="81" customFormat="1" ht="15">
      <c r="A66" s="129" t="s">
        <v>39</v>
      </c>
      <c r="B66" s="122">
        <f t="shared" si="13"/>
        <v>0</v>
      </c>
      <c r="C66" s="124">
        <f t="shared" si="14"/>
        <v>2403</v>
      </c>
      <c r="D66" s="123">
        <f t="shared" si="15"/>
        <v>6.47</v>
      </c>
      <c r="E66" s="130">
        <f t="shared" si="16"/>
        <v>2.973</v>
      </c>
      <c r="F66" s="122">
        <f t="shared" si="17"/>
        <v>3.135</v>
      </c>
      <c r="G66" s="122">
        <f t="shared" si="18"/>
        <v>3.051</v>
      </c>
      <c r="H66" s="122">
        <f t="shared" si="19"/>
        <v>2.973</v>
      </c>
      <c r="I66" s="122">
        <f t="shared" si="20"/>
        <v>0.07800000000000029</v>
      </c>
      <c r="J66" s="130">
        <f t="shared" si="21"/>
        <v>0.16199999999999992</v>
      </c>
      <c r="K66" s="130">
        <f t="shared" si="22"/>
        <v>0.07800000000000029</v>
      </c>
      <c r="L66" s="131">
        <f t="shared" si="23"/>
        <v>9.499787719349886</v>
      </c>
      <c r="M66" s="145">
        <f t="shared" si="24"/>
        <v>94997877.19349886</v>
      </c>
    </row>
    <row r="67" spans="1:13" ht="15">
      <c r="A67" s="112" t="s">
        <v>43</v>
      </c>
      <c r="B67" s="118">
        <f t="shared" si="13"/>
        <v>0</v>
      </c>
      <c r="C67" s="120">
        <f t="shared" si="14"/>
        <v>2436.63</v>
      </c>
      <c r="D67" s="119">
        <f t="shared" si="15"/>
        <v>5.75</v>
      </c>
      <c r="E67" s="126">
        <f t="shared" si="16"/>
        <v>3.002</v>
      </c>
      <c r="F67" s="118">
        <f t="shared" si="17"/>
        <v>3.133</v>
      </c>
      <c r="G67" s="118">
        <f t="shared" si="18"/>
        <v>3.143</v>
      </c>
      <c r="H67" s="118">
        <f t="shared" si="19"/>
        <v>3.002</v>
      </c>
      <c r="I67" s="118">
        <f t="shared" si="20"/>
        <v>0.14100000000000001</v>
      </c>
      <c r="J67" s="126">
        <f t="shared" si="21"/>
        <v>0.13100000000000023</v>
      </c>
      <c r="K67" s="126">
        <f t="shared" si="22"/>
        <v>0.13100000000000023</v>
      </c>
      <c r="L67" s="128">
        <f t="shared" si="23"/>
        <v>4.341458615273107</v>
      </c>
      <c r="M67" s="144">
        <f t="shared" si="24"/>
        <v>43414586.152731076</v>
      </c>
    </row>
    <row r="68" spans="1:13" ht="15">
      <c r="A68" s="112" t="s">
        <v>40</v>
      </c>
      <c r="B68" s="118">
        <f t="shared" si="13"/>
        <v>0</v>
      </c>
      <c r="C68" s="120">
        <f t="shared" si="14"/>
        <v>2450</v>
      </c>
      <c r="D68" s="119">
        <f t="shared" si="15"/>
        <v>9</v>
      </c>
      <c r="E68" s="126">
        <f t="shared" si="16"/>
        <v>2.699</v>
      </c>
      <c r="F68" s="118">
        <f t="shared" si="17"/>
        <v>2.717</v>
      </c>
      <c r="G68" s="118">
        <f t="shared" si="18"/>
        <v>2.77</v>
      </c>
      <c r="H68" s="118">
        <f t="shared" si="19"/>
        <v>2.699</v>
      </c>
      <c r="I68" s="118">
        <f t="shared" si="20"/>
        <v>0.07100000000000017</v>
      </c>
      <c r="J68" s="126">
        <f t="shared" si="21"/>
        <v>0.018000000000000238</v>
      </c>
      <c r="K68" s="126">
        <f t="shared" si="22"/>
        <v>0.018000000000000238</v>
      </c>
      <c r="L68" s="128">
        <f t="shared" si="23"/>
        <v>1.0551297591148636</v>
      </c>
      <c r="M68" s="144">
        <f t="shared" si="24"/>
        <v>10551297.591148635</v>
      </c>
    </row>
    <row r="69" spans="1:13" ht="15">
      <c r="A69" s="112" t="s">
        <v>121</v>
      </c>
      <c r="B69" s="118">
        <f t="shared" si="13"/>
        <v>0</v>
      </c>
      <c r="C69" s="120">
        <f t="shared" si="14"/>
        <v>2425</v>
      </c>
      <c r="D69" s="119">
        <f t="shared" si="15"/>
        <v>5.75</v>
      </c>
      <c r="E69" s="126">
        <f t="shared" si="16"/>
        <v>2.597</v>
      </c>
      <c r="F69" s="118">
        <f t="shared" si="17"/>
        <v>2.587</v>
      </c>
      <c r="G69" s="118">
        <f t="shared" si="18"/>
        <v>2.665</v>
      </c>
      <c r="H69" s="118">
        <f t="shared" si="19"/>
        <v>2.597</v>
      </c>
      <c r="I69" s="118">
        <f t="shared" si="20"/>
        <v>0.06800000000000006</v>
      </c>
      <c r="J69" s="126">
        <f t="shared" si="21"/>
        <v>0</v>
      </c>
      <c r="K69" s="126">
        <f t="shared" si="22"/>
        <v>0</v>
      </c>
      <c r="L69" s="128">
        <f t="shared" si="23"/>
        <v>0</v>
      </c>
      <c r="M69" s="90">
        <f t="shared" si="24"/>
        <v>0</v>
      </c>
    </row>
    <row r="70" spans="1:13" ht="15">
      <c r="A70" s="112" t="s">
        <v>41</v>
      </c>
      <c r="B70" s="118">
        <f t="shared" si="13"/>
        <v>0</v>
      </c>
      <c r="C70" s="120">
        <f t="shared" si="14"/>
        <v>0</v>
      </c>
      <c r="D70" s="119">
        <f t="shared" si="15"/>
        <v>0</v>
      </c>
      <c r="E70" s="126">
        <f t="shared" si="16"/>
        <v>0</v>
      </c>
      <c r="F70" s="118">
        <f t="shared" si="17"/>
        <v>0</v>
      </c>
      <c r="G70" s="118">
        <f t="shared" si="18"/>
        <v>0</v>
      </c>
      <c r="H70" s="118">
        <f t="shared" si="19"/>
        <v>0</v>
      </c>
      <c r="I70" s="118">
        <f t="shared" si="20"/>
        <v>0</v>
      </c>
      <c r="J70" s="126">
        <f t="shared" si="21"/>
        <v>0</v>
      </c>
      <c r="K70" s="126">
        <f t="shared" si="22"/>
        <v>0</v>
      </c>
      <c r="L70" s="128">
        <f t="shared" si="23"/>
        <v>0</v>
      </c>
      <c r="M70" s="90">
        <f t="shared" si="24"/>
        <v>0</v>
      </c>
    </row>
    <row r="71" spans="1:13" ht="15" hidden="1">
      <c r="A71" s="112" t="s">
        <v>123</v>
      </c>
      <c r="B71" s="118" t="e">
        <f t="shared" si="13"/>
        <v>#DIV/0!</v>
      </c>
      <c r="C71" s="119" t="e">
        <f t="shared" si="14"/>
        <v>#DIV/0!</v>
      </c>
      <c r="D71" s="119" t="e">
        <f t="shared" si="15"/>
        <v>#DIV/0!</v>
      </c>
      <c r="E71" s="126" t="e">
        <f t="shared" si="16"/>
        <v>#DIV/0!</v>
      </c>
      <c r="F71" s="118" t="e">
        <f t="shared" si="17"/>
        <v>#DIV/0!</v>
      </c>
      <c r="G71" s="118" t="e">
        <f t="shared" si="18"/>
        <v>#DIV/0!</v>
      </c>
      <c r="H71" s="118" t="e">
        <f t="shared" si="19"/>
        <v>#DIV/0!</v>
      </c>
      <c r="I71" s="118" t="e">
        <f t="shared" si="20"/>
        <v>#DIV/0!</v>
      </c>
      <c r="J71" s="126" t="e">
        <f t="shared" si="21"/>
        <v>#DIV/0!</v>
      </c>
      <c r="K71" s="126" t="e">
        <f t="shared" si="22"/>
        <v>#DIV/0!</v>
      </c>
      <c r="L71" s="128" t="e">
        <f t="shared" si="23"/>
        <v>#DIV/0!</v>
      </c>
      <c r="M71" s="90"/>
    </row>
    <row r="74" spans="1:18" ht="12.75">
      <c r="A74" s="84"/>
      <c r="B74" s="62"/>
      <c r="C74" s="62"/>
      <c r="R74" s="57">
        <v>8.57</v>
      </c>
    </row>
    <row r="75" spans="1:3" ht="12.75">
      <c r="A75" s="141" t="s">
        <v>77</v>
      </c>
      <c r="B75" s="141" t="s">
        <v>138</v>
      </c>
      <c r="C75" s="84"/>
    </row>
    <row r="76" spans="1:3" ht="12.75">
      <c r="A76" s="84" t="s">
        <v>136</v>
      </c>
      <c r="B76" s="142">
        <f>+M66</f>
        <v>94997877.19349886</v>
      </c>
      <c r="C76" s="98"/>
    </row>
    <row r="77" spans="1:13" ht="12.75">
      <c r="A77" s="84" t="s">
        <v>135</v>
      </c>
      <c r="B77" s="62" t="s">
        <v>139</v>
      </c>
      <c r="C77" s="62" t="s">
        <v>141</v>
      </c>
      <c r="D77" s="62" t="s">
        <v>142</v>
      </c>
      <c r="E77" s="62" t="s">
        <v>149</v>
      </c>
      <c r="F77" s="62" t="s">
        <v>143</v>
      </c>
      <c r="G77" s="62" t="s">
        <v>145</v>
      </c>
      <c r="H77" s="62" t="s">
        <v>150</v>
      </c>
      <c r="I77" s="62" t="s">
        <v>144</v>
      </c>
      <c r="J77" s="62" t="s">
        <v>151</v>
      </c>
      <c r="K77" s="62" t="s">
        <v>152</v>
      </c>
      <c r="L77" s="62" t="s">
        <v>153</v>
      </c>
      <c r="M77" s="62"/>
    </row>
    <row r="78" spans="1:13" ht="51">
      <c r="A78" s="67" t="s">
        <v>140</v>
      </c>
      <c r="B78" s="99">
        <v>0.4734004140290913</v>
      </c>
      <c r="C78" s="99">
        <v>6.507774086020517</v>
      </c>
      <c r="D78" s="99">
        <v>2.2332672790708687</v>
      </c>
      <c r="E78" s="99">
        <v>48.521883543051665</v>
      </c>
      <c r="F78" s="99">
        <v>21.66197334007671</v>
      </c>
      <c r="G78" s="99">
        <v>8.779893636838215</v>
      </c>
      <c r="H78" s="62">
        <v>0</v>
      </c>
      <c r="I78" s="99">
        <v>11.821807700912933</v>
      </c>
      <c r="J78" s="62">
        <v>0</v>
      </c>
      <c r="K78" s="62">
        <v>0</v>
      </c>
      <c r="L78" s="62">
        <v>0</v>
      </c>
      <c r="M78" s="85">
        <f>SUM(B78:L78)</f>
        <v>99.99999999999999</v>
      </c>
    </row>
    <row r="79" spans="1:13" ht="12.75">
      <c r="A79" s="140" t="s">
        <v>136</v>
      </c>
      <c r="B79" s="76">
        <f aca="true" t="shared" si="25" ref="B79:M79">+ROUND($B76*B78/100,0)</f>
        <v>449720</v>
      </c>
      <c r="C79" s="76">
        <f t="shared" si="25"/>
        <v>6182247</v>
      </c>
      <c r="D79" s="76">
        <f t="shared" si="25"/>
        <v>2121557</v>
      </c>
      <c r="E79" s="76">
        <f t="shared" si="25"/>
        <v>46094759</v>
      </c>
      <c r="F79" s="76">
        <f t="shared" si="25"/>
        <v>20578415</v>
      </c>
      <c r="G79" s="76">
        <f t="shared" si="25"/>
        <v>8340713</v>
      </c>
      <c r="H79" s="76">
        <f t="shared" si="25"/>
        <v>0</v>
      </c>
      <c r="I79" s="76">
        <f t="shared" si="25"/>
        <v>11230466</v>
      </c>
      <c r="J79" s="76">
        <f t="shared" si="25"/>
        <v>0</v>
      </c>
      <c r="K79" s="76">
        <f t="shared" si="25"/>
        <v>0</v>
      </c>
      <c r="L79" s="76">
        <f t="shared" si="25"/>
        <v>0</v>
      </c>
      <c r="M79" s="76">
        <f t="shared" si="25"/>
        <v>94997877</v>
      </c>
    </row>
    <row r="80" spans="1:3" ht="12.75">
      <c r="A80" s="141" t="s">
        <v>77</v>
      </c>
      <c r="B80" s="141" t="s">
        <v>165</v>
      </c>
      <c r="C80" s="84"/>
    </row>
    <row r="81" spans="1:3" ht="12.75">
      <c r="A81" s="84" t="s">
        <v>136</v>
      </c>
      <c r="B81" s="142">
        <f>M67</f>
        <v>43414586.152731076</v>
      </c>
      <c r="C81" s="98"/>
    </row>
    <row r="82" spans="1:13" ht="51">
      <c r="A82" s="67" t="s">
        <v>140</v>
      </c>
      <c r="B82" s="99">
        <v>17.270137591053352</v>
      </c>
      <c r="C82" s="99">
        <v>6.662086856711063</v>
      </c>
      <c r="D82" s="99">
        <v>9.19632653664872</v>
      </c>
      <c r="E82" s="99">
        <v>47.76791935523568</v>
      </c>
      <c r="F82" s="99">
        <v>18.987183008049453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99">
        <v>0.11634665230173738</v>
      </c>
      <c r="M82" s="85">
        <f>SUM(B82:L82)</f>
        <v>100.00000000000001</v>
      </c>
    </row>
    <row r="83" spans="1:13" ht="12.75">
      <c r="A83" s="140" t="s">
        <v>136</v>
      </c>
      <c r="B83" s="76">
        <f>+ROUND($B81*B82/100,0)</f>
        <v>7497759</v>
      </c>
      <c r="C83" s="76">
        <f aca="true" t="shared" si="26" ref="C83:M83">+ROUND($B81*C82/100,0)</f>
        <v>2892317</v>
      </c>
      <c r="D83" s="76">
        <f t="shared" si="26"/>
        <v>3992547</v>
      </c>
      <c r="E83" s="76">
        <f t="shared" si="26"/>
        <v>20738245</v>
      </c>
      <c r="F83" s="76">
        <f t="shared" si="26"/>
        <v>8243207</v>
      </c>
      <c r="G83" s="76">
        <f t="shared" si="26"/>
        <v>0</v>
      </c>
      <c r="H83" s="76">
        <f t="shared" si="26"/>
        <v>0</v>
      </c>
      <c r="I83" s="76">
        <f t="shared" si="26"/>
        <v>0</v>
      </c>
      <c r="J83" s="76">
        <f t="shared" si="26"/>
        <v>0</v>
      </c>
      <c r="K83" s="76">
        <f t="shared" si="26"/>
        <v>0</v>
      </c>
      <c r="L83" s="76">
        <f t="shared" si="26"/>
        <v>50511</v>
      </c>
      <c r="M83" s="76">
        <f t="shared" si="26"/>
        <v>43414586</v>
      </c>
    </row>
    <row r="84" spans="1:3" ht="12.75">
      <c r="A84" s="141" t="s">
        <v>77</v>
      </c>
      <c r="B84" s="141" t="s">
        <v>166</v>
      </c>
      <c r="C84" s="84"/>
    </row>
    <row r="85" spans="1:3" ht="12.75">
      <c r="A85" s="84" t="s">
        <v>136</v>
      </c>
      <c r="B85" s="142">
        <f>M68</f>
        <v>10551297.591148635</v>
      </c>
      <c r="C85" s="98"/>
    </row>
    <row r="86" spans="1:13" ht="51">
      <c r="A86" s="67" t="s">
        <v>140</v>
      </c>
      <c r="B86" s="62">
        <v>0</v>
      </c>
      <c r="C86" s="62">
        <v>0</v>
      </c>
      <c r="D86" s="99">
        <v>2.1375120010930555</v>
      </c>
      <c r="E86" s="99">
        <v>29.81368035438917</v>
      </c>
      <c r="F86" s="99">
        <v>8.337553524465218</v>
      </c>
      <c r="G86" s="99">
        <v>4.097555896157987</v>
      </c>
      <c r="H86" s="62">
        <v>0</v>
      </c>
      <c r="I86" s="99">
        <v>55.61369822389457</v>
      </c>
      <c r="J86" s="62">
        <v>0</v>
      </c>
      <c r="K86" s="62">
        <v>0</v>
      </c>
      <c r="L86" s="62">
        <v>0</v>
      </c>
      <c r="M86" s="85">
        <f>SUM(B86:L86)</f>
        <v>100</v>
      </c>
    </row>
    <row r="87" spans="1:13" ht="12.75">
      <c r="A87" s="140" t="s">
        <v>136</v>
      </c>
      <c r="B87" s="76">
        <f>+ROUND($B85*B86/100,0)</f>
        <v>0</v>
      </c>
      <c r="C87" s="76">
        <f aca="true" t="shared" si="27" ref="C87:M87">+ROUND($B85*C86/100,0)</f>
        <v>0</v>
      </c>
      <c r="D87" s="76">
        <f t="shared" si="27"/>
        <v>225535</v>
      </c>
      <c r="E87" s="76">
        <f t="shared" si="27"/>
        <v>3145730</v>
      </c>
      <c r="F87" s="76">
        <f t="shared" si="27"/>
        <v>879720</v>
      </c>
      <c r="G87" s="76">
        <f t="shared" si="27"/>
        <v>432345</v>
      </c>
      <c r="H87" s="76">
        <f t="shared" si="27"/>
        <v>0</v>
      </c>
      <c r="I87" s="76">
        <f t="shared" si="27"/>
        <v>5867967</v>
      </c>
      <c r="J87" s="76">
        <f t="shared" si="27"/>
        <v>0</v>
      </c>
      <c r="K87" s="76">
        <f t="shared" si="27"/>
        <v>0</v>
      </c>
      <c r="L87" s="76">
        <f t="shared" si="27"/>
        <v>0</v>
      </c>
      <c r="M87" s="76">
        <f t="shared" si="27"/>
        <v>10551298</v>
      </c>
    </row>
    <row r="88" spans="1:3" ht="12.75">
      <c r="A88" s="141" t="s">
        <v>77</v>
      </c>
      <c r="B88" s="141" t="s">
        <v>167</v>
      </c>
      <c r="C88" s="84"/>
    </row>
    <row r="89" spans="1:3" ht="12.75">
      <c r="A89" s="84" t="s">
        <v>136</v>
      </c>
      <c r="B89" s="143">
        <v>0</v>
      </c>
      <c r="C89" s="98"/>
    </row>
    <row r="90" spans="1:13" ht="51">
      <c r="A90" s="67" t="s">
        <v>140</v>
      </c>
      <c r="B90" s="62">
        <v>0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85">
        <f>SUM(B90:L90)</f>
        <v>0</v>
      </c>
    </row>
    <row r="91" spans="1:13" ht="12.75">
      <c r="A91" s="140" t="s">
        <v>136</v>
      </c>
      <c r="B91" s="76">
        <f>+ROUND($B89*B90/100,0)</f>
        <v>0</v>
      </c>
      <c r="C91" s="76">
        <f aca="true" t="shared" si="28" ref="C91:M91">+ROUND($B89*C90/100,0)</f>
        <v>0</v>
      </c>
      <c r="D91" s="76">
        <f t="shared" si="28"/>
        <v>0</v>
      </c>
      <c r="E91" s="76">
        <f t="shared" si="28"/>
        <v>0</v>
      </c>
      <c r="F91" s="76">
        <f t="shared" si="28"/>
        <v>0</v>
      </c>
      <c r="G91" s="76">
        <f t="shared" si="28"/>
        <v>0</v>
      </c>
      <c r="H91" s="76">
        <f t="shared" si="28"/>
        <v>0</v>
      </c>
      <c r="I91" s="76">
        <f t="shared" si="28"/>
        <v>0</v>
      </c>
      <c r="J91" s="76">
        <f t="shared" si="28"/>
        <v>0</v>
      </c>
      <c r="K91" s="76">
        <f t="shared" si="28"/>
        <v>0</v>
      </c>
      <c r="L91" s="76">
        <f t="shared" si="28"/>
        <v>0</v>
      </c>
      <c r="M91" s="76">
        <f t="shared" si="28"/>
        <v>0</v>
      </c>
    </row>
    <row r="92" spans="1:3" ht="12.75">
      <c r="A92" s="141" t="s">
        <v>77</v>
      </c>
      <c r="B92" s="141" t="s">
        <v>168</v>
      </c>
      <c r="C92" s="84"/>
    </row>
    <row r="93" spans="1:3" ht="12.75">
      <c r="A93" s="84" t="s">
        <v>136</v>
      </c>
      <c r="B93" s="143">
        <v>0</v>
      </c>
      <c r="C93" s="98"/>
    </row>
    <row r="94" spans="1:13" ht="51">
      <c r="A94" s="67" t="s">
        <v>140</v>
      </c>
      <c r="B94" s="62">
        <v>0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85">
        <f>SUM(B94:L94)</f>
        <v>0</v>
      </c>
    </row>
    <row r="95" spans="1:13" ht="12.75">
      <c r="A95" s="140" t="s">
        <v>136</v>
      </c>
      <c r="B95" s="76">
        <f>+ROUND($B93*B94/100,0)</f>
        <v>0</v>
      </c>
      <c r="C95" s="76">
        <f aca="true" t="shared" si="29" ref="C95:M95">+ROUND($B93*C94/100,0)</f>
        <v>0</v>
      </c>
      <c r="D95" s="76">
        <f t="shared" si="29"/>
        <v>0</v>
      </c>
      <c r="E95" s="76">
        <f t="shared" si="29"/>
        <v>0</v>
      </c>
      <c r="F95" s="76">
        <f t="shared" si="29"/>
        <v>0</v>
      </c>
      <c r="G95" s="76">
        <f t="shared" si="29"/>
        <v>0</v>
      </c>
      <c r="H95" s="76">
        <f t="shared" si="29"/>
        <v>0</v>
      </c>
      <c r="I95" s="76">
        <f t="shared" si="29"/>
        <v>0</v>
      </c>
      <c r="J95" s="76">
        <f t="shared" si="29"/>
        <v>0</v>
      </c>
      <c r="K95" s="76">
        <f t="shared" si="29"/>
        <v>0</v>
      </c>
      <c r="L95" s="76">
        <f t="shared" si="29"/>
        <v>0</v>
      </c>
      <c r="M95" s="76">
        <f t="shared" si="29"/>
        <v>0</v>
      </c>
    </row>
    <row r="96" spans="1:3" ht="12.75">
      <c r="A96" s="141" t="s">
        <v>77</v>
      </c>
      <c r="B96" s="141" t="s">
        <v>169</v>
      </c>
      <c r="C96" s="84"/>
    </row>
    <row r="97" spans="1:3" ht="12.75">
      <c r="A97" s="84" t="s">
        <v>136</v>
      </c>
      <c r="B97" s="142">
        <f>M65</f>
        <v>46912353.57016003</v>
      </c>
      <c r="C97" s="98"/>
    </row>
    <row r="98" spans="1:13" ht="51">
      <c r="A98" s="67" t="s">
        <v>140</v>
      </c>
      <c r="B98" s="62">
        <v>0</v>
      </c>
      <c r="C98" s="99">
        <v>15.557397867186475</v>
      </c>
      <c r="D98" s="99">
        <v>0</v>
      </c>
      <c r="E98" s="99">
        <v>84.44260213281353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85">
        <f>SUM(B98:L98)</f>
        <v>100.00000000000001</v>
      </c>
    </row>
    <row r="99" spans="1:13" ht="12.75">
      <c r="A99" s="140" t="s">
        <v>136</v>
      </c>
      <c r="B99" s="76">
        <f>+ROUND($B97*B98/100,0)</f>
        <v>0</v>
      </c>
      <c r="C99" s="76">
        <f aca="true" t="shared" si="30" ref="C99:M99">+ROUND($B97*C98/100,0)</f>
        <v>7298341</v>
      </c>
      <c r="D99" s="76">
        <f t="shared" si="30"/>
        <v>0</v>
      </c>
      <c r="E99" s="76">
        <f t="shared" si="30"/>
        <v>39614012</v>
      </c>
      <c r="F99" s="76">
        <f t="shared" si="30"/>
        <v>0</v>
      </c>
      <c r="G99" s="76">
        <f t="shared" si="30"/>
        <v>0</v>
      </c>
      <c r="H99" s="76">
        <f t="shared" si="30"/>
        <v>0</v>
      </c>
      <c r="I99" s="76">
        <f t="shared" si="30"/>
        <v>0</v>
      </c>
      <c r="J99" s="76">
        <f t="shared" si="30"/>
        <v>0</v>
      </c>
      <c r="K99" s="76">
        <f t="shared" si="30"/>
        <v>0</v>
      </c>
      <c r="L99" s="76">
        <f t="shared" si="30"/>
        <v>0</v>
      </c>
      <c r="M99" s="76">
        <f t="shared" si="30"/>
        <v>46912354</v>
      </c>
    </row>
    <row r="102" spans="1:3" ht="12.75">
      <c r="A102" s="86" t="s">
        <v>148</v>
      </c>
      <c r="B102" s="87"/>
      <c r="C102" s="88"/>
    </row>
    <row r="103" spans="1:3" ht="12.75">
      <c r="A103" s="62" t="s">
        <v>146</v>
      </c>
      <c r="B103" s="62"/>
      <c r="C103" s="146">
        <f>+ROUND((B79+B83+B87+B91+B95+B99)*0.4,0)</f>
        <v>3178992</v>
      </c>
    </row>
    <row r="104" spans="1:3" ht="12.75">
      <c r="A104" s="62" t="s">
        <v>147</v>
      </c>
      <c r="B104" s="62"/>
      <c r="C104" s="146">
        <f>+ROUND((B79+B83+B87+B91+B95+B99)*0.6,0)</f>
        <v>4768487</v>
      </c>
    </row>
  </sheetData>
  <sheetProtection/>
  <mergeCells count="30">
    <mergeCell ref="A3:M3"/>
    <mergeCell ref="D6:M6"/>
    <mergeCell ref="A23:B23"/>
    <mergeCell ref="A24:B24"/>
    <mergeCell ref="A25:B25"/>
    <mergeCell ref="A26:B26"/>
    <mergeCell ref="A9:B9"/>
    <mergeCell ref="A12:B12"/>
    <mergeCell ref="H22:M22"/>
    <mergeCell ref="A11:B11"/>
    <mergeCell ref="A30:B30"/>
    <mergeCell ref="A13:B13"/>
    <mergeCell ref="A14:B14"/>
    <mergeCell ref="A48:A50"/>
    <mergeCell ref="A61:A63"/>
    <mergeCell ref="A27:B27"/>
    <mergeCell ref="A28:B28"/>
    <mergeCell ref="A16:B16"/>
    <mergeCell ref="A17:B17"/>
    <mergeCell ref="A21:B21"/>
    <mergeCell ref="A5:B5"/>
    <mergeCell ref="A35:A37"/>
    <mergeCell ref="A2:M2"/>
    <mergeCell ref="A22:B22"/>
    <mergeCell ref="A8:B8"/>
    <mergeCell ref="A15:B15"/>
    <mergeCell ref="A29:B29"/>
    <mergeCell ref="A4:B4"/>
    <mergeCell ref="A7:B7"/>
    <mergeCell ref="A10:B10"/>
  </mergeCells>
  <printOptions/>
  <pageMargins left="0.35433070866141736" right="0.2362204724409449" top="0.1968503937007874" bottom="0.15748031496062992" header="0.15748031496062992" footer="0.196850393700787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1.140625" style="0" bestFit="1" customWidth="1"/>
    <col min="2" max="2" width="7.28125" style="0" bestFit="1" customWidth="1"/>
    <col min="3" max="3" width="17.421875" style="0" bestFit="1" customWidth="1"/>
    <col min="4" max="4" width="11.421875" style="0" bestFit="1" customWidth="1"/>
    <col min="5" max="5" width="11.7109375" style="0" bestFit="1" customWidth="1"/>
    <col min="6" max="6" width="10.421875" style="0" bestFit="1" customWidth="1"/>
    <col min="7" max="7" width="9.28125" style="0" bestFit="1" customWidth="1"/>
    <col min="8" max="8" width="18.00390625" style="0" bestFit="1" customWidth="1"/>
    <col min="14" max="15" width="9.57421875" style="0" bestFit="1" customWidth="1"/>
  </cols>
  <sheetData>
    <row r="1" spans="1:8" s="11" customFormat="1" ht="15">
      <c r="A1" s="10" t="s">
        <v>55</v>
      </c>
      <c r="B1" s="10" t="s">
        <v>56</v>
      </c>
      <c r="C1" s="10" t="s">
        <v>57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</row>
    <row r="2" spans="4:7" ht="15">
      <c r="D2" s="18"/>
      <c r="E2" s="19"/>
      <c r="F2" s="18"/>
      <c r="G2" s="19"/>
    </row>
    <row r="3" spans="1:7" ht="15.75" thickBot="1">
      <c r="A3" s="11" t="s">
        <v>65</v>
      </c>
      <c r="D3" s="18"/>
      <c r="E3" s="19"/>
      <c r="F3" s="18"/>
      <c r="G3" s="19"/>
    </row>
    <row r="4" spans="1:17" ht="15">
      <c r="A4" s="20" t="s">
        <v>73</v>
      </c>
      <c r="B4" s="21" t="s">
        <v>62</v>
      </c>
      <c r="C4" s="21" t="s">
        <v>64</v>
      </c>
      <c r="D4" s="22">
        <v>42877</v>
      </c>
      <c r="E4" s="23">
        <v>0.736111111111111</v>
      </c>
      <c r="F4" s="22">
        <v>42877</v>
      </c>
      <c r="G4" s="23">
        <v>0.896527777777778</v>
      </c>
      <c r="H4" s="21" t="s">
        <v>66</v>
      </c>
      <c r="J4" s="53">
        <f>3+51/60</f>
        <v>3.85</v>
      </c>
      <c r="K4" s="53">
        <f>+J4</f>
        <v>3.85</v>
      </c>
      <c r="L4" s="13"/>
      <c r="M4" s="54">
        <f>24*17*1320</f>
        <v>538560</v>
      </c>
      <c r="N4" s="53">
        <f>+K4*660</f>
        <v>2541</v>
      </c>
      <c r="O4" s="54">
        <f>+M4-N4</f>
        <v>536019</v>
      </c>
      <c r="P4" s="53">
        <f>+O4/1320</f>
        <v>406.075</v>
      </c>
      <c r="Q4" s="13"/>
    </row>
    <row r="5" spans="1:17" ht="15">
      <c r="A5" s="12" t="s">
        <v>74</v>
      </c>
      <c r="B5" s="13" t="s">
        <v>60</v>
      </c>
      <c r="C5" s="13" t="s">
        <v>64</v>
      </c>
      <c r="D5" s="14">
        <v>42871</v>
      </c>
      <c r="E5" s="15">
        <v>0.440972222222222</v>
      </c>
      <c r="F5" s="14">
        <v>42874</v>
      </c>
      <c r="G5" s="15">
        <v>0.627083333333333</v>
      </c>
      <c r="H5" s="13" t="s">
        <v>67</v>
      </c>
      <c r="J5" s="53">
        <f>76+28/60</f>
        <v>76.46666666666667</v>
      </c>
      <c r="K5" s="53">
        <f>+J5+J6</f>
        <v>80.86666666666667</v>
      </c>
      <c r="L5" s="13"/>
      <c r="M5" s="13">
        <f>1600*24*17</f>
        <v>652800</v>
      </c>
      <c r="N5" s="54">
        <f>200*J5+500*J6</f>
        <v>17493.333333333336</v>
      </c>
      <c r="O5" s="54">
        <f>+M5-N5</f>
        <v>635306.6666666666</v>
      </c>
      <c r="P5" s="53">
        <f>+O5/1600</f>
        <v>397.06666666666666</v>
      </c>
      <c r="Q5" s="13"/>
    </row>
    <row r="6" spans="1:17" ht="15">
      <c r="A6" s="12" t="s">
        <v>74</v>
      </c>
      <c r="B6" s="13" t="s">
        <v>62</v>
      </c>
      <c r="C6" s="13" t="s">
        <v>64</v>
      </c>
      <c r="D6" s="14">
        <v>42880</v>
      </c>
      <c r="E6" s="15">
        <v>0.699305555555556</v>
      </c>
      <c r="F6" s="14">
        <v>42880</v>
      </c>
      <c r="G6" s="15">
        <v>0.882638888888889</v>
      </c>
      <c r="H6" s="13" t="s">
        <v>68</v>
      </c>
      <c r="J6" s="53">
        <f>4+24/60</f>
        <v>4.4</v>
      </c>
      <c r="K6" s="13"/>
      <c r="L6" s="13"/>
      <c r="M6" s="13"/>
      <c r="N6" s="13"/>
      <c r="O6" s="13"/>
      <c r="P6" s="53"/>
      <c r="Q6" s="13"/>
    </row>
    <row r="7" spans="1:17" ht="15">
      <c r="A7" s="12" t="s">
        <v>75</v>
      </c>
      <c r="B7" s="13" t="s">
        <v>58</v>
      </c>
      <c r="C7" s="13" t="s">
        <v>64</v>
      </c>
      <c r="D7" s="14">
        <v>42870</v>
      </c>
      <c r="E7" s="15">
        <v>0.471527777777778</v>
      </c>
      <c r="F7" s="14">
        <v>42870</v>
      </c>
      <c r="G7" s="15">
        <v>0.753472222222222</v>
      </c>
      <c r="H7" s="13" t="s">
        <v>69</v>
      </c>
      <c r="J7" s="53">
        <f>6+46/60</f>
        <v>6.766666666666667</v>
      </c>
      <c r="K7" s="53">
        <f>+J7+J8+J9</f>
        <v>106.66666666666667</v>
      </c>
      <c r="L7" s="13"/>
      <c r="M7" s="13">
        <f>840*24*17</f>
        <v>342720</v>
      </c>
      <c r="N7" s="13">
        <f>+K7*210</f>
        <v>22400</v>
      </c>
      <c r="O7" s="13">
        <f>+M7-N7</f>
        <v>320320</v>
      </c>
      <c r="P7" s="53">
        <f>+O7/840</f>
        <v>381.3333333333333</v>
      </c>
      <c r="Q7" s="13"/>
    </row>
    <row r="8" spans="1:17" ht="15">
      <c r="A8" s="12" t="s">
        <v>75</v>
      </c>
      <c r="B8" s="13" t="s">
        <v>58</v>
      </c>
      <c r="C8" s="13" t="s">
        <v>64</v>
      </c>
      <c r="D8" s="14">
        <v>42871</v>
      </c>
      <c r="E8" s="15">
        <v>0.386805555555556</v>
      </c>
      <c r="F8" s="14">
        <v>42871</v>
      </c>
      <c r="G8" s="15">
        <v>0.550694444444444</v>
      </c>
      <c r="H8" s="13" t="s">
        <v>70</v>
      </c>
      <c r="J8" s="53">
        <f>3+56/60</f>
        <v>3.9333333333333336</v>
      </c>
      <c r="K8" s="13"/>
      <c r="L8" s="13"/>
      <c r="M8" s="13"/>
      <c r="N8" s="13"/>
      <c r="O8" s="13"/>
      <c r="P8" s="13"/>
      <c r="Q8" s="13"/>
    </row>
    <row r="9" spans="1:17" ht="15">
      <c r="A9" s="12" t="s">
        <v>75</v>
      </c>
      <c r="B9" s="13" t="s">
        <v>61</v>
      </c>
      <c r="C9" s="13" t="s">
        <v>63</v>
      </c>
      <c r="D9" s="14">
        <v>42883</v>
      </c>
      <c r="E9" s="15">
        <v>0.00138888888888889</v>
      </c>
      <c r="F9" s="14">
        <v>42886</v>
      </c>
      <c r="G9" s="15">
        <v>1</v>
      </c>
      <c r="H9" s="13" t="s">
        <v>71</v>
      </c>
      <c r="J9" s="53">
        <f>95+58/60</f>
        <v>95.96666666666667</v>
      </c>
      <c r="K9" s="13"/>
      <c r="L9" s="13"/>
      <c r="M9" s="13"/>
      <c r="N9" s="13"/>
      <c r="O9" s="13"/>
      <c r="P9" s="13"/>
      <c r="Q9" s="13"/>
    </row>
    <row r="10" spans="1:17" ht="15.75" thickBot="1">
      <c r="A10" s="16"/>
      <c r="B10" s="17"/>
      <c r="C10" s="17"/>
      <c r="D10" s="17"/>
      <c r="E10" s="17"/>
      <c r="F10" s="17"/>
      <c r="G10" s="17"/>
      <c r="H10" s="17"/>
      <c r="J10" s="53"/>
      <c r="K10" s="13"/>
      <c r="L10" s="13"/>
      <c r="M10" s="13"/>
      <c r="N10" s="13"/>
      <c r="O10" s="13"/>
      <c r="P10" s="13"/>
      <c r="Q10" s="13"/>
    </row>
    <row r="11" spans="10:17" ht="15">
      <c r="J11" s="53"/>
      <c r="K11" s="13"/>
      <c r="L11" s="13"/>
      <c r="M11" s="13"/>
      <c r="N11" s="13"/>
      <c r="O11" s="13"/>
      <c r="P11" s="13"/>
      <c r="Q11" s="13"/>
    </row>
    <row r="12" spans="10:17" ht="15">
      <c r="J12" s="53"/>
      <c r="K12" s="13"/>
      <c r="L12" s="13"/>
      <c r="M12" s="13"/>
      <c r="N12" s="13"/>
      <c r="O12" s="13"/>
      <c r="P12" s="13"/>
      <c r="Q12" s="13"/>
    </row>
    <row r="13" spans="1:17" ht="15.75" thickBot="1">
      <c r="A13" s="11" t="s">
        <v>72</v>
      </c>
      <c r="J13" s="53"/>
      <c r="K13" s="13"/>
      <c r="L13" s="13"/>
      <c r="M13" s="13"/>
      <c r="N13" s="13"/>
      <c r="O13" s="13"/>
      <c r="P13" s="13"/>
      <c r="Q13" s="13"/>
    </row>
    <row r="14" spans="1:17" ht="15.75" thickBot="1">
      <c r="A14" s="24" t="s">
        <v>76</v>
      </c>
      <c r="B14" s="25" t="s">
        <v>58</v>
      </c>
      <c r="C14" s="25" t="s">
        <v>63</v>
      </c>
      <c r="D14" s="26">
        <v>42870</v>
      </c>
      <c r="E14" s="27">
        <v>0</v>
      </c>
      <c r="F14" s="26">
        <v>42886</v>
      </c>
      <c r="G14" s="27">
        <v>1</v>
      </c>
      <c r="H14" s="25" t="s">
        <v>59</v>
      </c>
      <c r="J14" s="53">
        <v>408</v>
      </c>
      <c r="K14" s="13"/>
      <c r="L14" s="13"/>
      <c r="M14" s="13"/>
      <c r="N14" s="13"/>
      <c r="O14" s="13"/>
      <c r="P14" s="13"/>
      <c r="Q14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2" sqref="R22"/>
    </sheetView>
  </sheetViews>
  <sheetFormatPr defaultColWidth="9.140625" defaultRowHeight="15"/>
  <cols>
    <col min="1" max="1" width="20.28125" style="0" customWidth="1"/>
    <col min="2" max="2" width="8.57421875" style="0" customWidth="1"/>
    <col min="5" max="5" width="8.8515625" style="0" bestFit="1" customWidth="1"/>
    <col min="6" max="6" width="10.421875" style="0" bestFit="1" customWidth="1"/>
    <col min="7" max="7" width="15.7109375" style="0" bestFit="1" customWidth="1"/>
    <col min="8" max="9" width="15.7109375" style="0" customWidth="1"/>
    <col min="10" max="10" width="9.8515625" style="0" bestFit="1" customWidth="1"/>
    <col min="11" max="11" width="16.140625" style="0" bestFit="1" customWidth="1"/>
    <col min="12" max="12" width="17.7109375" style="0" bestFit="1" customWidth="1"/>
    <col min="13" max="13" width="10.57421875" style="0" bestFit="1" customWidth="1"/>
    <col min="14" max="14" width="10.421875" style="0" bestFit="1" customWidth="1"/>
    <col min="15" max="15" width="10.00390625" style="0" bestFit="1" customWidth="1"/>
    <col min="16" max="16" width="13.57421875" style="0" bestFit="1" customWidth="1"/>
    <col min="17" max="18" width="13.7109375" style="0" bestFit="1" customWidth="1"/>
    <col min="20" max="20" width="6.421875" style="0" bestFit="1" customWidth="1"/>
    <col min="21" max="21" width="16.28125" style="0" bestFit="1" customWidth="1"/>
    <col min="22" max="22" width="14.57421875" style="0" bestFit="1" customWidth="1"/>
    <col min="23" max="23" width="14.7109375" style="0" bestFit="1" customWidth="1"/>
    <col min="24" max="24" width="14.57421875" style="0" bestFit="1" customWidth="1"/>
    <col min="25" max="25" width="14.57421875" style="0" customWidth="1"/>
    <col min="26" max="26" width="16.421875" style="0" bestFit="1" customWidth="1"/>
    <col min="27" max="27" width="16.28125" style="0" bestFit="1" customWidth="1"/>
    <col min="28" max="28" width="14.8515625" style="0" bestFit="1" customWidth="1"/>
    <col min="29" max="29" width="14.7109375" style="0" bestFit="1" customWidth="1"/>
    <col min="34" max="35" width="14.7109375" style="0" bestFit="1" customWidth="1"/>
    <col min="36" max="36" width="14.8515625" style="0" bestFit="1" customWidth="1"/>
    <col min="37" max="37" width="15.57421875" style="0" customWidth="1"/>
  </cols>
  <sheetData>
    <row r="1" spans="1:29" ht="15">
      <c r="A1" s="193" t="s">
        <v>77</v>
      </c>
      <c r="Z1" t="s">
        <v>78</v>
      </c>
      <c r="AC1" t="s">
        <v>78</v>
      </c>
    </row>
    <row r="2" spans="1:37" ht="15">
      <c r="A2" s="194"/>
      <c r="E2" s="28" t="s">
        <v>79</v>
      </c>
      <c r="F2" s="28" t="s">
        <v>79</v>
      </c>
      <c r="G2" s="29" t="s">
        <v>80</v>
      </c>
      <c r="H2" s="29" t="s">
        <v>81</v>
      </c>
      <c r="I2" s="29" t="s">
        <v>80</v>
      </c>
      <c r="J2" s="29" t="s">
        <v>79</v>
      </c>
      <c r="K2" s="30" t="s">
        <v>79</v>
      </c>
      <c r="L2" s="29" t="s">
        <v>79</v>
      </c>
      <c r="M2" s="29" t="s">
        <v>82</v>
      </c>
      <c r="N2" s="29" t="s">
        <v>82</v>
      </c>
      <c r="O2" s="29" t="s">
        <v>82</v>
      </c>
      <c r="P2" s="29" t="s">
        <v>82</v>
      </c>
      <c r="Q2" s="29" t="s">
        <v>79</v>
      </c>
      <c r="R2" s="29" t="s">
        <v>79</v>
      </c>
      <c r="S2" s="29" t="s">
        <v>83</v>
      </c>
      <c r="T2" s="29" t="s">
        <v>84</v>
      </c>
      <c r="U2" s="29" t="s">
        <v>85</v>
      </c>
      <c r="V2" s="29" t="s">
        <v>86</v>
      </c>
      <c r="W2" s="29" t="s">
        <v>87</v>
      </c>
      <c r="X2" s="29" t="s">
        <v>88</v>
      </c>
      <c r="Y2" s="29" t="s">
        <v>89</v>
      </c>
      <c r="Z2" s="29" t="s">
        <v>90</v>
      </c>
      <c r="AA2" s="29" t="s">
        <v>91</v>
      </c>
      <c r="AB2" s="29" t="s">
        <v>92</v>
      </c>
      <c r="AC2" s="29" t="s">
        <v>93</v>
      </c>
      <c r="AD2" s="29" t="s">
        <v>94</v>
      </c>
      <c r="AE2" s="29" t="s">
        <v>95</v>
      </c>
      <c r="AF2" s="29" t="s">
        <v>96</v>
      </c>
      <c r="AG2" s="29" t="s">
        <v>97</v>
      </c>
      <c r="AH2" s="29" t="s">
        <v>98</v>
      </c>
      <c r="AI2" s="29" t="s">
        <v>99</v>
      </c>
      <c r="AJ2" s="29" t="s">
        <v>100</v>
      </c>
      <c r="AK2" s="29" t="s">
        <v>101</v>
      </c>
    </row>
    <row r="3" spans="1:37" ht="15.75" thickBot="1">
      <c r="A3" s="195"/>
      <c r="B3" t="s">
        <v>6</v>
      </c>
      <c r="C3" t="s">
        <v>102</v>
      </c>
      <c r="D3" t="s">
        <v>103</v>
      </c>
      <c r="E3" s="31" t="s">
        <v>104</v>
      </c>
      <c r="F3" s="31" t="s">
        <v>105</v>
      </c>
      <c r="G3" t="s">
        <v>106</v>
      </c>
      <c r="H3" t="s">
        <v>107</v>
      </c>
      <c r="I3" t="s">
        <v>106</v>
      </c>
      <c r="J3" t="s">
        <v>108</v>
      </c>
      <c r="K3" s="32" t="s">
        <v>109</v>
      </c>
      <c r="L3" t="s">
        <v>110</v>
      </c>
      <c r="M3" t="s">
        <v>111</v>
      </c>
      <c r="N3" t="s">
        <v>112</v>
      </c>
      <c r="O3" t="s">
        <v>113</v>
      </c>
      <c r="P3" t="s">
        <v>114</v>
      </c>
      <c r="Q3" t="s">
        <v>115</v>
      </c>
      <c r="R3" t="s">
        <v>116</v>
      </c>
      <c r="S3" s="29" t="s">
        <v>117</v>
      </c>
      <c r="T3" t="s">
        <v>118</v>
      </c>
      <c r="AK3" s="33" t="s">
        <v>119</v>
      </c>
    </row>
    <row r="4" spans="1:36" ht="15.75" thickBot="1">
      <c r="A4" s="34" t="str">
        <f>'[2]Sheet2'!A30</f>
        <v>Farakka-1</v>
      </c>
      <c r="B4">
        <f>'[2]Sheet2'!B30</f>
        <v>1600</v>
      </c>
      <c r="C4">
        <v>6.47</v>
      </c>
      <c r="D4">
        <v>2403</v>
      </c>
      <c r="S4" s="35" t="e">
        <f>(((MAX(J4,I4)*10^3)/(B4*E4*(1-0.01*'[2]Sheet2'!C30)))*100)</f>
        <v>#DIV/0!</v>
      </c>
      <c r="U4" t="e">
        <f>IF(S4&gt;=85,0,IF(S4&gt;=75,2.25,IF(S4&gt;=65,4,IF(S4&gt;=55,6,6))))</f>
        <v>#DIV/0!</v>
      </c>
      <c r="V4" t="e">
        <f aca="true" t="shared" si="0" ref="V4:V11">IF(S4&gt;=85,0,IF(S4&gt;=75,0.35,IF(S4&gt;=65,0.65,IF(S4&gt;=55,1,1))))</f>
        <v>#DIV/0!</v>
      </c>
      <c r="W4" s="36" t="e">
        <f aca="true" t="shared" si="1" ref="W4:W11">IF(T4="NO",0,(D4*(1+U4*0.01)))</f>
        <v>#DIV/0!</v>
      </c>
      <c r="X4" s="36" t="e">
        <f aca="true" t="shared" si="2" ref="X4:X11">IF(T4="NO",0,(C4+V4))</f>
        <v>#DIV/0!</v>
      </c>
      <c r="Y4" s="37" t="e">
        <f>IF(T4="NO",0,((K4)*10^3)/(B4*E4*(1-0.01*'[2]Sheet2'!C30))*100)</f>
        <v>#DIV/0!</v>
      </c>
      <c r="Z4" t="e">
        <f aca="true" t="shared" si="3" ref="Z4:Z11">IF(Y4=0,0,IF(Y4&gt;=85,0,IF(Y4&gt;=75,2.25,IF(Y4&gt;=65,4,IF(Y4&gt;=55,6,6)))))</f>
        <v>#DIV/0!</v>
      </c>
      <c r="AA4" t="e">
        <f aca="true" t="shared" si="4" ref="AA4:AA11">IF(Y4=0,0,IF(Y4&gt;=85,0,IF(Y4&gt;=75,0.35,IF(Y4&gt;=65,0.65,IF(Y4&gt;=55,1,1)))))</f>
        <v>#DIV/0!</v>
      </c>
      <c r="AB4" s="36" t="e">
        <f aca="true" t="shared" si="5" ref="AB4:AB11">IF(T4="NO",0,($D4*(1+Z4*0.01)))</f>
        <v>#DIV/0!</v>
      </c>
      <c r="AC4" s="36" t="e">
        <f aca="true" t="shared" si="6" ref="AC4:AC11">IF(T4="NO",0,(C4+AA4))</f>
        <v>#DIV/0!</v>
      </c>
      <c r="AD4" s="38" t="e">
        <f aca="true" t="shared" si="7" ref="AD4:AD11">IF(T4="NO",0,ROUND((((($D4-0.5*O4)*(M4*0.001/N4))+(0.5*P4))/(100-$C4))*100,3))</f>
        <v>#DIV/0!</v>
      </c>
      <c r="AE4" t="e">
        <f aca="true" t="shared" si="8" ref="AE4:AE11">IF(T4="NO",0,ROUND((((($R4-0.5*O4)*(M4*0.001/N4))+(0.5*P4))/(100-$Q4))*100,3))</f>
        <v>#DIV/0!</v>
      </c>
      <c r="AF4" t="e">
        <f aca="true" t="shared" si="9" ref="AF4:AF11">IF(T4="NO",0,ROUND((((($W4-0.5*O4)*(M4*0.001/N4))+(0.5*P4))/(100-$X4))*100,3))</f>
        <v>#DIV/0!</v>
      </c>
      <c r="AG4" t="e">
        <f aca="true" t="shared" si="10" ref="AG4:AG11">IF(T4="NO",0,ROUND((((($AB4-0.5*O4)*(M4*0.001/N4))+(0.5*P4))/(100-$AC4))*100,3))</f>
        <v>#DIV/0!</v>
      </c>
      <c r="AH4" t="e">
        <f aca="true" t="shared" si="11" ref="AH4:AH11">IF(AF4&gt;AG4,AF4-AG4,0)</f>
        <v>#DIV/0!</v>
      </c>
      <c r="AI4" s="38" t="e">
        <f aca="true" t="shared" si="12" ref="AI4:AI11">IF(AE4&gt;AD4,AE4-AD4,0)</f>
        <v>#DIV/0!</v>
      </c>
      <c r="AJ4" s="38" t="e">
        <f aca="true" t="shared" si="13" ref="AJ4:AJ11">MIN(AH4,AI4)</f>
        <v>#DIV/0!</v>
      </c>
    </row>
    <row r="5" spans="1:36" ht="15.75" thickBot="1">
      <c r="A5" s="34" t="str">
        <f>'[2]Sheet2'!A31</f>
        <v>Farakka-2</v>
      </c>
      <c r="B5">
        <f>'[2]Sheet2'!B31</f>
        <v>500</v>
      </c>
      <c r="C5">
        <v>5.75</v>
      </c>
      <c r="D5">
        <v>2436.63</v>
      </c>
      <c r="S5" s="35" t="e">
        <f>(((MAX(J5,I5)*10^3)/(B5*E5*(1-0.01*'[2]Sheet2'!C31)))*100)</f>
        <v>#DIV/0!</v>
      </c>
      <c r="U5" t="e">
        <f>IF(S5&gt;=85,0,IF(S5&gt;=75,2.25,IF(S5&gt;=65,4,IF(S5&gt;=55,6,6))))</f>
        <v>#DIV/0!</v>
      </c>
      <c r="V5" t="e">
        <f t="shared" si="0"/>
        <v>#DIV/0!</v>
      </c>
      <c r="W5" s="36" t="e">
        <f t="shared" si="1"/>
        <v>#DIV/0!</v>
      </c>
      <c r="X5" s="36" t="e">
        <f t="shared" si="2"/>
        <v>#DIV/0!</v>
      </c>
      <c r="Y5" s="37" t="e">
        <f>IF(T5="NO",0,((K5)*10^3)/(B5*E5*(1-0.01*'[2]Sheet2'!C31))*100)</f>
        <v>#DIV/0!</v>
      </c>
      <c r="Z5" t="e">
        <f t="shared" si="3"/>
        <v>#DIV/0!</v>
      </c>
      <c r="AA5" t="e">
        <f t="shared" si="4"/>
        <v>#DIV/0!</v>
      </c>
      <c r="AB5" s="36" t="e">
        <f t="shared" si="5"/>
        <v>#DIV/0!</v>
      </c>
      <c r="AC5" s="36" t="e">
        <f t="shared" si="6"/>
        <v>#DIV/0!</v>
      </c>
      <c r="AD5" s="38" t="e">
        <f t="shared" si="7"/>
        <v>#DIV/0!</v>
      </c>
      <c r="AE5" t="e">
        <f t="shared" si="8"/>
        <v>#DIV/0!</v>
      </c>
      <c r="AF5" t="e">
        <f t="shared" si="9"/>
        <v>#DIV/0!</v>
      </c>
      <c r="AG5" t="e">
        <f t="shared" si="10"/>
        <v>#DIV/0!</v>
      </c>
      <c r="AH5" t="e">
        <f t="shared" si="11"/>
        <v>#DIV/0!</v>
      </c>
      <c r="AI5" s="38" t="e">
        <f t="shared" si="12"/>
        <v>#DIV/0!</v>
      </c>
      <c r="AJ5" s="38" t="e">
        <f t="shared" si="13"/>
        <v>#DIV/0!</v>
      </c>
    </row>
    <row r="6" spans="1:36" ht="15.75" thickBot="1">
      <c r="A6" s="34" t="str">
        <f>'[2]Sheet2'!A32</f>
        <v>Kahalgaon-1</v>
      </c>
      <c r="B6">
        <f>'[2]Sheet2'!B32</f>
        <v>840</v>
      </c>
      <c r="C6">
        <v>9</v>
      </c>
      <c r="D6">
        <v>2450</v>
      </c>
      <c r="S6" s="35" t="e">
        <f>(((MAX(J6,I6)*10^3)/(B6*E6*(1-0.01*'[2]Sheet2'!C32)))*100)</f>
        <v>#DIV/0!</v>
      </c>
      <c r="U6" t="e">
        <f>IF(S6&gt;=85,0,IF(S6&gt;=75,2.25,IF(S6&gt;=65,4,IF(S6&gt;=55,6,6))))</f>
        <v>#DIV/0!</v>
      </c>
      <c r="V6" t="e">
        <f t="shared" si="0"/>
        <v>#DIV/0!</v>
      </c>
      <c r="W6" s="36" t="e">
        <f t="shared" si="1"/>
        <v>#DIV/0!</v>
      </c>
      <c r="X6" s="36" t="e">
        <f t="shared" si="2"/>
        <v>#DIV/0!</v>
      </c>
      <c r="Y6" s="37" t="e">
        <f>IF(T6="NO",0,((K6)*10^3)/(B6*E6*(1-0.01*'[2]Sheet2'!C32))*100)</f>
        <v>#DIV/0!</v>
      </c>
      <c r="Z6" t="e">
        <f t="shared" si="3"/>
        <v>#DIV/0!</v>
      </c>
      <c r="AA6" t="e">
        <f t="shared" si="4"/>
        <v>#DIV/0!</v>
      </c>
      <c r="AB6" s="36" t="e">
        <f t="shared" si="5"/>
        <v>#DIV/0!</v>
      </c>
      <c r="AC6" s="36" t="e">
        <f t="shared" si="6"/>
        <v>#DIV/0!</v>
      </c>
      <c r="AD6" s="38" t="e">
        <f t="shared" si="7"/>
        <v>#DIV/0!</v>
      </c>
      <c r="AE6" t="e">
        <f t="shared" si="8"/>
        <v>#DIV/0!</v>
      </c>
      <c r="AF6" t="e">
        <f t="shared" si="9"/>
        <v>#DIV/0!</v>
      </c>
      <c r="AG6" t="e">
        <f t="shared" si="10"/>
        <v>#DIV/0!</v>
      </c>
      <c r="AH6" t="e">
        <f t="shared" si="11"/>
        <v>#DIV/0!</v>
      </c>
      <c r="AI6" s="38" t="e">
        <f t="shared" si="12"/>
        <v>#DIV/0!</v>
      </c>
      <c r="AJ6" s="38" t="e">
        <f t="shared" si="13"/>
        <v>#DIV/0!</v>
      </c>
    </row>
    <row r="7" spans="1:36" ht="15.75" thickBot="1">
      <c r="A7" s="34" t="str">
        <f>'[2]Sheet2'!A33</f>
        <v>Kahalgaon-2</v>
      </c>
      <c r="B7">
        <f>'[2]Sheet2'!B33</f>
        <v>1500</v>
      </c>
      <c r="C7">
        <v>5.75</v>
      </c>
      <c r="D7">
        <v>2425</v>
      </c>
      <c r="S7" s="35" t="e">
        <f>(((MAX(J7,I7)*10^3)/(B7*E7*(1-0.01*'[2]Sheet2'!C33)))*100)</f>
        <v>#DIV/0!</v>
      </c>
      <c r="U7" t="e">
        <f>IF(S7&gt;=85,0,IF(S7&gt;=75,2.25,IF(S7&gt;=65,4,IF(S7&gt;=55,6,6))))</f>
        <v>#DIV/0!</v>
      </c>
      <c r="V7" t="e">
        <f t="shared" si="0"/>
        <v>#DIV/0!</v>
      </c>
      <c r="W7" s="36" t="e">
        <f t="shared" si="1"/>
        <v>#DIV/0!</v>
      </c>
      <c r="X7" s="36" t="e">
        <f t="shared" si="2"/>
        <v>#DIV/0!</v>
      </c>
      <c r="Y7" s="37" t="e">
        <f>IF(T7="NO",0,((K7)*10^3)/(B7*E7*(1-0.01*'[2]Sheet2'!C33))*100)</f>
        <v>#DIV/0!</v>
      </c>
      <c r="Z7" t="e">
        <f t="shared" si="3"/>
        <v>#DIV/0!</v>
      </c>
      <c r="AA7" t="e">
        <f t="shared" si="4"/>
        <v>#DIV/0!</v>
      </c>
      <c r="AB7" s="36" t="e">
        <f t="shared" si="5"/>
        <v>#DIV/0!</v>
      </c>
      <c r="AC7" s="36" t="e">
        <f t="shared" si="6"/>
        <v>#DIV/0!</v>
      </c>
      <c r="AD7" s="38" t="e">
        <f t="shared" si="7"/>
        <v>#DIV/0!</v>
      </c>
      <c r="AE7" t="e">
        <f t="shared" si="8"/>
        <v>#DIV/0!</v>
      </c>
      <c r="AF7" t="e">
        <f t="shared" si="9"/>
        <v>#DIV/0!</v>
      </c>
      <c r="AG7" t="e">
        <f t="shared" si="10"/>
        <v>#DIV/0!</v>
      </c>
      <c r="AH7" t="e">
        <f t="shared" si="11"/>
        <v>#DIV/0!</v>
      </c>
      <c r="AI7" s="38" t="e">
        <f t="shared" si="12"/>
        <v>#DIV/0!</v>
      </c>
      <c r="AJ7" s="38" t="e">
        <f t="shared" si="13"/>
        <v>#DIV/0!</v>
      </c>
    </row>
    <row r="8" spans="1:37" ht="15.75" thickBot="1">
      <c r="A8" s="39" t="str">
        <f>'[2]Sheet2'!A34</f>
        <v>Barh</v>
      </c>
      <c r="B8">
        <f>'[2]Sheet2'!B34</f>
        <v>1320</v>
      </c>
      <c r="C8">
        <v>5.75</v>
      </c>
      <c r="D8">
        <v>2248</v>
      </c>
      <c r="E8" s="41">
        <v>406.075</v>
      </c>
      <c r="G8" s="41">
        <v>443.1750407272501</v>
      </c>
      <c r="H8">
        <v>0</v>
      </c>
      <c r="I8">
        <f>G8-H8</f>
        <v>443.1750407272501</v>
      </c>
      <c r="J8" s="41">
        <v>432.88457650000004</v>
      </c>
      <c r="K8" s="41">
        <v>505.093225</v>
      </c>
      <c r="M8" s="42" t="e">
        <f>+#REF!</f>
        <v>#REF!</v>
      </c>
      <c r="N8">
        <v>3691.5540794232847</v>
      </c>
      <c r="O8">
        <v>9.888</v>
      </c>
      <c r="P8">
        <v>0.048089150000000004</v>
      </c>
      <c r="Q8">
        <v>5.966386513687196</v>
      </c>
      <c r="R8">
        <v>2552.246725587627</v>
      </c>
      <c r="S8" s="35">
        <f>(((MAX(J8,I8)*10^3)/(B8*E8*(1-0.01*'[2]Sheet2'!C34)))*100)</f>
        <v>87.72305548934803</v>
      </c>
      <c r="T8" s="29" t="str">
        <f>IF(S8&gt;=85,"NO","YES")</f>
        <v>NO</v>
      </c>
      <c r="U8">
        <f>IF(S8&gt;=85,0,IF(S8&gt;=75,1.25,IF(S8&gt;=65,2,IF(S8&gt;=55,3,3))))</f>
        <v>0</v>
      </c>
      <c r="V8">
        <f t="shared" si="0"/>
        <v>0</v>
      </c>
      <c r="W8" s="36">
        <f t="shared" si="1"/>
        <v>0</v>
      </c>
      <c r="X8" s="37">
        <f t="shared" si="2"/>
        <v>0</v>
      </c>
      <c r="Y8" s="37">
        <f>IF(T8="NO",0,((K8)*10^3)/(B8*E8*(1-0.01*'[2]Sheet2'!C34))*100)</f>
        <v>0</v>
      </c>
      <c r="Z8">
        <f>IF(Y8=0,0,IF(Y8&gt;=85,0,IF(Y8&gt;=75,1.25,IF(Y8&gt;=65,2,IF(Y8&gt;=55,3,3)))))</f>
        <v>0</v>
      </c>
      <c r="AA8">
        <f t="shared" si="4"/>
        <v>0</v>
      </c>
      <c r="AB8" s="36">
        <f>IF(T8="NO",0,($D8*(1+Z8*0.01)))</f>
        <v>0</v>
      </c>
      <c r="AC8" s="36">
        <f t="shared" si="6"/>
        <v>0</v>
      </c>
      <c r="AD8" s="40">
        <f t="shared" si="7"/>
        <v>0</v>
      </c>
      <c r="AE8" s="40">
        <f t="shared" si="8"/>
        <v>0</v>
      </c>
      <c r="AF8" s="40">
        <f t="shared" si="9"/>
        <v>0</v>
      </c>
      <c r="AG8" s="40">
        <f t="shared" si="10"/>
        <v>0</v>
      </c>
      <c r="AH8" s="40">
        <f t="shared" si="11"/>
        <v>0</v>
      </c>
      <c r="AI8" s="40">
        <f t="shared" si="12"/>
        <v>0</v>
      </c>
      <c r="AJ8" s="40">
        <f t="shared" si="13"/>
        <v>0</v>
      </c>
      <c r="AK8" s="40">
        <f>AJ8*I8/10</f>
        <v>0</v>
      </c>
    </row>
    <row r="9" spans="1:36" ht="15.75" thickBot="1">
      <c r="A9" s="34" t="str">
        <f>'[2]Sheet2'!A35</f>
        <v>Talcher Super-1</v>
      </c>
      <c r="B9">
        <f>'[2]Sheet2'!B35</f>
        <v>1000</v>
      </c>
      <c r="C9">
        <v>5.25</v>
      </c>
      <c r="D9">
        <v>2375</v>
      </c>
      <c r="S9" s="35" t="e">
        <f>(((MAX(J9,I9)*10^3)/(B9*E9*(1-0.01*'[2]Sheet2'!C35)))*100)</f>
        <v>#DIV/0!</v>
      </c>
      <c r="U9" t="e">
        <f>IF(S9&gt;=85,0,IF(S9&gt;=75,2.25,IF(S9&gt;=65,4,IF(S9&gt;=55,6,6))))</f>
        <v>#DIV/0!</v>
      </c>
      <c r="V9" t="e">
        <f t="shared" si="0"/>
        <v>#DIV/0!</v>
      </c>
      <c r="W9" s="36" t="e">
        <f t="shared" si="1"/>
        <v>#DIV/0!</v>
      </c>
      <c r="X9" s="36" t="e">
        <f t="shared" si="2"/>
        <v>#DIV/0!</v>
      </c>
      <c r="Y9" s="37" t="e">
        <f>IF(T9="NO",0,((K9)*10^3)/(B9*E9*(1-0.01*'[2]Sheet2'!C35))*100)</f>
        <v>#DIV/0!</v>
      </c>
      <c r="Z9" t="e">
        <f t="shared" si="3"/>
        <v>#DIV/0!</v>
      </c>
      <c r="AA9" t="e">
        <f t="shared" si="4"/>
        <v>#DIV/0!</v>
      </c>
      <c r="AB9" s="36" t="e">
        <f t="shared" si="5"/>
        <v>#DIV/0!</v>
      </c>
      <c r="AC9" s="36" t="e">
        <f t="shared" si="6"/>
        <v>#DIV/0!</v>
      </c>
      <c r="AD9" s="38" t="e">
        <f t="shared" si="7"/>
        <v>#DIV/0!</v>
      </c>
      <c r="AE9" t="e">
        <f t="shared" si="8"/>
        <v>#DIV/0!</v>
      </c>
      <c r="AF9" t="e">
        <f t="shared" si="9"/>
        <v>#DIV/0!</v>
      </c>
      <c r="AG9" t="e">
        <f t="shared" si="10"/>
        <v>#DIV/0!</v>
      </c>
      <c r="AH9" t="e">
        <f t="shared" si="11"/>
        <v>#DIV/0!</v>
      </c>
      <c r="AI9" s="38" t="e">
        <f t="shared" si="12"/>
        <v>#DIV/0!</v>
      </c>
      <c r="AJ9" s="38" t="e">
        <f t="shared" si="13"/>
        <v>#DIV/0!</v>
      </c>
    </row>
    <row r="10" spans="1:36" ht="15.75" thickBot="1">
      <c r="A10" s="34" t="str">
        <f>'[2]Sheet2'!A37</f>
        <v>TTPS</v>
      </c>
      <c r="B10">
        <f>'[2]Sheet2'!B37</f>
        <v>460</v>
      </c>
      <c r="C10">
        <v>10.5</v>
      </c>
      <c r="D10">
        <v>2850</v>
      </c>
      <c r="S10" s="35" t="e">
        <f>(((MAX(J10,I10)*10^3)/(B10*E10*(1-0.01*'[2]Sheet2'!C37)))*100)</f>
        <v>#DIV/0!</v>
      </c>
      <c r="U10" t="e">
        <f>IF(S10&gt;=85,0,IF(S10&gt;=75,2.25,IF(S10&gt;=65,4,IF(S10&gt;=55,6,6))))</f>
        <v>#DIV/0!</v>
      </c>
      <c r="V10" t="e">
        <f t="shared" si="0"/>
        <v>#DIV/0!</v>
      </c>
      <c r="W10" s="36" t="e">
        <f t="shared" si="1"/>
        <v>#DIV/0!</v>
      </c>
      <c r="X10" s="36" t="e">
        <f t="shared" si="2"/>
        <v>#DIV/0!</v>
      </c>
      <c r="Y10" s="37" t="e">
        <f>IF(T10="NO",0,((K10)*10^3)/(B10*E10*(1-0.01*'[2]Sheet2'!C37))*100)</f>
        <v>#DIV/0!</v>
      </c>
      <c r="Z10" t="e">
        <f t="shared" si="3"/>
        <v>#DIV/0!</v>
      </c>
      <c r="AA10" t="e">
        <f t="shared" si="4"/>
        <v>#DIV/0!</v>
      </c>
      <c r="AB10" s="36" t="e">
        <f t="shared" si="5"/>
        <v>#DIV/0!</v>
      </c>
      <c r="AC10" s="36" t="e">
        <f t="shared" si="6"/>
        <v>#DIV/0!</v>
      </c>
      <c r="AD10" s="38" t="e">
        <f t="shared" si="7"/>
        <v>#DIV/0!</v>
      </c>
      <c r="AE10" t="e">
        <f t="shared" si="8"/>
        <v>#DIV/0!</v>
      </c>
      <c r="AF10" t="e">
        <f t="shared" si="9"/>
        <v>#DIV/0!</v>
      </c>
      <c r="AG10" t="e">
        <f t="shared" si="10"/>
        <v>#DIV/0!</v>
      </c>
      <c r="AH10" t="e">
        <f t="shared" si="11"/>
        <v>#DIV/0!</v>
      </c>
      <c r="AI10" s="38" t="e">
        <f t="shared" si="12"/>
        <v>#DIV/0!</v>
      </c>
      <c r="AJ10" s="38" t="e">
        <f t="shared" si="13"/>
        <v>#DIV/0!</v>
      </c>
    </row>
    <row r="11" spans="1:36" ht="15.75" thickBot="1">
      <c r="A11" s="34" t="str">
        <f>'[2]Sheet2'!A38</f>
        <v>Bongaigaon</v>
      </c>
      <c r="B11">
        <f>'[2]Sheet2'!B38</f>
        <v>250</v>
      </c>
      <c r="C11">
        <v>9</v>
      </c>
      <c r="D11">
        <v>2375</v>
      </c>
      <c r="S11" s="35" t="e">
        <f>(((MAX(J11,I11)*10^3)/(B11*E11*(1-0.01*'[2]Sheet2'!C38)))*100)</f>
        <v>#DIV/0!</v>
      </c>
      <c r="U11" t="e">
        <f>IF(S11&gt;=85,0,IF(S11&gt;=75,2.25,IF(S11&gt;=65,4,IF(S11&gt;=55,6,6))))</f>
        <v>#DIV/0!</v>
      </c>
      <c r="V11" t="e">
        <f t="shared" si="0"/>
        <v>#DIV/0!</v>
      </c>
      <c r="W11" s="36" t="e">
        <f t="shared" si="1"/>
        <v>#DIV/0!</v>
      </c>
      <c r="X11" s="36" t="e">
        <f t="shared" si="2"/>
        <v>#DIV/0!</v>
      </c>
      <c r="Y11" s="37" t="e">
        <f>IF(T11="NO",0,((K11)*10^3)/(B11*E11*(1-0.01*'[2]Sheet2'!C38))*100)</f>
        <v>#DIV/0!</v>
      </c>
      <c r="Z11" t="e">
        <f t="shared" si="3"/>
        <v>#DIV/0!</v>
      </c>
      <c r="AA11" t="e">
        <f t="shared" si="4"/>
        <v>#DIV/0!</v>
      </c>
      <c r="AB11" s="36" t="e">
        <f t="shared" si="5"/>
        <v>#DIV/0!</v>
      </c>
      <c r="AC11" s="36" t="e">
        <f t="shared" si="6"/>
        <v>#DIV/0!</v>
      </c>
      <c r="AD11" s="38" t="e">
        <f t="shared" si="7"/>
        <v>#DIV/0!</v>
      </c>
      <c r="AE11" t="e">
        <f t="shared" si="8"/>
        <v>#DIV/0!</v>
      </c>
      <c r="AF11" t="e">
        <f t="shared" si="9"/>
        <v>#DIV/0!</v>
      </c>
      <c r="AG11" t="e">
        <f t="shared" si="10"/>
        <v>#DIV/0!</v>
      </c>
      <c r="AH11" t="e">
        <f t="shared" si="11"/>
        <v>#DIV/0!</v>
      </c>
      <c r="AI11" s="38" t="e">
        <f t="shared" si="12"/>
        <v>#DIV/0!</v>
      </c>
      <c r="AJ11" s="38" t="e">
        <f t="shared" si="13"/>
        <v>#DIV/0!</v>
      </c>
    </row>
    <row r="13" spans="19:20" ht="15">
      <c r="S13" t="s">
        <v>78</v>
      </c>
      <c r="T13" t="s">
        <v>78</v>
      </c>
    </row>
    <row r="14" ht="15">
      <c r="AB14" t="s">
        <v>78</v>
      </c>
    </row>
    <row r="16" ht="15">
      <c r="T16" t="s">
        <v>78</v>
      </c>
    </row>
    <row r="19" ht="15">
      <c r="AG19" t="s">
        <v>78</v>
      </c>
    </row>
    <row r="21" ht="15">
      <c r="U21" t="s">
        <v>78</v>
      </c>
    </row>
    <row r="24" ht="15">
      <c r="L24" t="s">
        <v>78</v>
      </c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16.7109375" style="2" bestFit="1" customWidth="1"/>
    <col min="2" max="2" width="15.421875" style="2" bestFit="1" customWidth="1"/>
    <col min="3" max="3" width="9.8515625" style="2" bestFit="1" customWidth="1"/>
    <col min="4" max="4" width="14.7109375" style="2" bestFit="1" customWidth="1"/>
    <col min="5" max="5" width="12.7109375" style="2" bestFit="1" customWidth="1"/>
    <col min="6" max="6" width="12.421875" style="2" customWidth="1"/>
    <col min="7" max="7" width="5.57421875" style="2" bestFit="1" customWidth="1"/>
    <col min="8" max="8" width="7.7109375" style="2" bestFit="1" customWidth="1"/>
    <col min="9" max="9" width="8.00390625" style="2" bestFit="1" customWidth="1"/>
    <col min="10" max="10" width="15.7109375" style="2" bestFit="1" customWidth="1"/>
    <col min="11" max="11" width="10.57421875" style="2" bestFit="1" customWidth="1"/>
    <col min="12" max="12" width="7.421875" style="2" bestFit="1" customWidth="1"/>
    <col min="13" max="13" width="16.8515625" style="2" bestFit="1" customWidth="1"/>
    <col min="14" max="14" width="11.140625" style="2" customWidth="1"/>
    <col min="15" max="16384" width="9.140625" style="2" customWidth="1"/>
  </cols>
  <sheetData>
    <row r="1" spans="1:21" ht="12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"/>
      <c r="Q1" s="1"/>
      <c r="R1" s="1"/>
      <c r="S1" s="1"/>
      <c r="T1" s="1"/>
      <c r="U1" s="1"/>
    </row>
    <row r="2" spans="1:15" ht="15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6" ht="12.75">
      <c r="A3" s="196" t="s">
        <v>2</v>
      </c>
      <c r="B3" s="197"/>
      <c r="C3" s="3" t="s">
        <v>3</v>
      </c>
      <c r="D3" s="4">
        <v>42870</v>
      </c>
      <c r="E3" s="3" t="s">
        <v>4</v>
      </c>
      <c r="F3" s="4">
        <v>42886</v>
      </c>
    </row>
    <row r="4" spans="1:6" ht="25.5">
      <c r="A4" s="8" t="s">
        <v>21</v>
      </c>
      <c r="B4" s="198" t="s">
        <v>5</v>
      </c>
      <c r="C4" s="198"/>
      <c r="D4" s="198"/>
      <c r="E4" s="198"/>
      <c r="F4" s="198"/>
    </row>
    <row r="5" spans="1:15" s="9" customFormat="1" ht="51">
      <c r="A5" s="5" t="s">
        <v>29</v>
      </c>
      <c r="B5" s="5" t="s">
        <v>31</v>
      </c>
      <c r="C5" s="5" t="s">
        <v>30</v>
      </c>
      <c r="D5" s="5" t="s">
        <v>33</v>
      </c>
      <c r="E5" s="5" t="s">
        <v>36</v>
      </c>
      <c r="F5" s="5" t="s">
        <v>34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37</v>
      </c>
      <c r="N5" s="5" t="s">
        <v>35</v>
      </c>
      <c r="O5" s="5" t="s">
        <v>32</v>
      </c>
    </row>
    <row r="6" spans="1:15" ht="12.75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 t="s">
        <v>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 t="s">
        <v>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 t="s">
        <v>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7" t="s">
        <v>49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7" t="s">
        <v>50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7" t="s">
        <v>51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7" t="s">
        <v>52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sheetProtection/>
  <mergeCells count="4">
    <mergeCell ref="A3:B3"/>
    <mergeCell ref="B4:F4"/>
    <mergeCell ref="A2:O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0">
      <selection activeCell="A1" sqref="A1:H36"/>
    </sheetView>
  </sheetViews>
  <sheetFormatPr defaultColWidth="9.140625" defaultRowHeight="15"/>
  <cols>
    <col min="1" max="1" width="17.421875" style="0" customWidth="1"/>
    <col min="2" max="2" width="11.140625" style="0" customWidth="1"/>
    <col min="3" max="3" width="22.28125" style="0" customWidth="1"/>
    <col min="4" max="4" width="15.7109375" style="0" customWidth="1"/>
    <col min="5" max="5" width="16.00390625" style="0" customWidth="1"/>
    <col min="6" max="6" width="14.421875" style="0" customWidth="1"/>
    <col min="7" max="7" width="12.8515625" style="0" customWidth="1"/>
    <col min="8" max="8" width="15.8515625" style="0" customWidth="1"/>
  </cols>
  <sheetData>
    <row r="1" spans="1:8" ht="15">
      <c r="A1" s="201" t="s">
        <v>245</v>
      </c>
      <c r="B1" s="201"/>
      <c r="C1" s="201"/>
      <c r="D1" s="201"/>
      <c r="E1" s="201"/>
      <c r="F1" s="201"/>
      <c r="G1" s="201"/>
      <c r="H1" s="201"/>
    </row>
    <row r="3" spans="1:8" ht="15">
      <c r="A3" s="155" t="s">
        <v>55</v>
      </c>
      <c r="B3" s="155" t="s">
        <v>56</v>
      </c>
      <c r="C3" s="155" t="s">
        <v>57</v>
      </c>
      <c r="D3" s="155" t="s">
        <v>23</v>
      </c>
      <c r="E3" s="155" t="s">
        <v>24</v>
      </c>
      <c r="F3" s="155" t="s">
        <v>25</v>
      </c>
      <c r="G3" s="155" t="s">
        <v>26</v>
      </c>
      <c r="H3" s="155" t="s">
        <v>27</v>
      </c>
    </row>
    <row r="4" spans="1:8" ht="15.75">
      <c r="A4" s="156" t="s">
        <v>211</v>
      </c>
      <c r="B4" s="13"/>
      <c r="C4" s="13"/>
      <c r="D4" s="13"/>
      <c r="E4" s="13"/>
      <c r="F4" s="13"/>
      <c r="G4" s="13"/>
      <c r="H4" s="13"/>
    </row>
    <row r="5" spans="1:8" ht="15">
      <c r="A5" s="157" t="s">
        <v>212</v>
      </c>
      <c r="B5" s="13" t="s">
        <v>60</v>
      </c>
      <c r="C5" s="13" t="s">
        <v>64</v>
      </c>
      <c r="D5" s="14">
        <v>42871</v>
      </c>
      <c r="E5" s="15">
        <v>0.440972222222222</v>
      </c>
      <c r="F5" s="14">
        <v>42874</v>
      </c>
      <c r="G5" s="15">
        <v>0.627083333333333</v>
      </c>
      <c r="H5" s="13" t="s">
        <v>67</v>
      </c>
    </row>
    <row r="6" spans="1:8" ht="15">
      <c r="A6" s="157" t="s">
        <v>212</v>
      </c>
      <c r="B6" s="13" t="s">
        <v>62</v>
      </c>
      <c r="C6" s="13" t="s">
        <v>64</v>
      </c>
      <c r="D6" s="14">
        <v>42880</v>
      </c>
      <c r="E6" s="15">
        <v>0.699305555555556</v>
      </c>
      <c r="F6" s="14">
        <v>42880</v>
      </c>
      <c r="G6" s="15">
        <v>0.882638888888889</v>
      </c>
      <c r="H6" s="13" t="s">
        <v>68</v>
      </c>
    </row>
    <row r="7" spans="1:8" ht="15">
      <c r="A7" s="157" t="s">
        <v>212</v>
      </c>
      <c r="B7" s="158" t="s">
        <v>213</v>
      </c>
      <c r="C7" s="159" t="s">
        <v>64</v>
      </c>
      <c r="D7" s="160">
        <v>42889</v>
      </c>
      <c r="E7" s="161">
        <v>0.360416666666667</v>
      </c>
      <c r="F7" s="160">
        <v>42893</v>
      </c>
      <c r="G7" s="161">
        <v>0.0381944444444444</v>
      </c>
      <c r="H7" s="158" t="s">
        <v>214</v>
      </c>
    </row>
    <row r="8" spans="1:8" ht="15">
      <c r="A8" s="157" t="s">
        <v>212</v>
      </c>
      <c r="B8" s="13" t="s">
        <v>213</v>
      </c>
      <c r="C8" s="162" t="s">
        <v>64</v>
      </c>
      <c r="D8" s="14">
        <v>42894</v>
      </c>
      <c r="E8" s="15">
        <v>0.517361111111111</v>
      </c>
      <c r="F8" s="14">
        <v>42897</v>
      </c>
      <c r="G8" s="15">
        <v>0.515972222222222</v>
      </c>
      <c r="H8" s="13" t="s">
        <v>215</v>
      </c>
    </row>
    <row r="9" spans="1:8" ht="15">
      <c r="A9" s="157" t="s">
        <v>212</v>
      </c>
      <c r="B9" s="13" t="s">
        <v>216</v>
      </c>
      <c r="C9" s="162" t="s">
        <v>64</v>
      </c>
      <c r="D9" s="14">
        <v>42889</v>
      </c>
      <c r="E9" s="15">
        <v>0.875694444444444</v>
      </c>
      <c r="F9" s="14">
        <v>42890</v>
      </c>
      <c r="G9" s="15">
        <v>0.0409722222222222</v>
      </c>
      <c r="H9" s="13" t="s">
        <v>217</v>
      </c>
    </row>
    <row r="10" spans="1:8" ht="15">
      <c r="A10" s="157"/>
      <c r="B10" s="13"/>
      <c r="C10" s="162"/>
      <c r="D10" s="14"/>
      <c r="E10" s="15"/>
      <c r="F10" s="14"/>
      <c r="G10" s="15"/>
      <c r="H10" s="13"/>
    </row>
    <row r="11" spans="1:8" ht="15">
      <c r="A11" s="12" t="s">
        <v>218</v>
      </c>
      <c r="B11" s="13" t="s">
        <v>219</v>
      </c>
      <c r="C11" s="162" t="s">
        <v>64</v>
      </c>
      <c r="D11" s="14">
        <v>42901</v>
      </c>
      <c r="E11" s="15">
        <v>0.902083333333333</v>
      </c>
      <c r="F11" s="14">
        <v>42901</v>
      </c>
      <c r="G11" s="15">
        <v>0.996527777777778</v>
      </c>
      <c r="H11" s="13" t="s">
        <v>220</v>
      </c>
    </row>
    <row r="12" spans="1:8" ht="15">
      <c r="A12" s="12" t="s">
        <v>218</v>
      </c>
      <c r="B12" s="13" t="s">
        <v>219</v>
      </c>
      <c r="C12" s="162" t="s">
        <v>64</v>
      </c>
      <c r="D12" s="14">
        <v>42906</v>
      </c>
      <c r="E12" s="15">
        <v>0.286111111111111</v>
      </c>
      <c r="F12" s="14">
        <v>42906</v>
      </c>
      <c r="G12" s="15">
        <v>0.389583333333333</v>
      </c>
      <c r="H12" s="13" t="s">
        <v>221</v>
      </c>
    </row>
    <row r="13" spans="1:8" ht="15">
      <c r="A13" s="12" t="s">
        <v>218</v>
      </c>
      <c r="B13" s="13" t="s">
        <v>219</v>
      </c>
      <c r="C13" s="162" t="s">
        <v>64</v>
      </c>
      <c r="D13" s="14">
        <v>42906</v>
      </c>
      <c r="E13" s="15">
        <v>0.715972222222222</v>
      </c>
      <c r="F13" s="14">
        <v>42907</v>
      </c>
      <c r="G13" s="15">
        <v>0.104166666666667</v>
      </c>
      <c r="H13" s="13" t="s">
        <v>222</v>
      </c>
    </row>
    <row r="14" spans="1:8" ht="15.75" thickBot="1">
      <c r="A14" s="157"/>
      <c r="B14" s="158"/>
      <c r="C14" s="159"/>
      <c r="D14" s="160"/>
      <c r="E14" s="161"/>
      <c r="F14" s="160"/>
      <c r="G14" s="161"/>
      <c r="H14" s="158"/>
    </row>
    <row r="15" spans="1:8" ht="15.75" thickBot="1">
      <c r="A15" s="20" t="s">
        <v>223</v>
      </c>
      <c r="B15" s="21" t="s">
        <v>62</v>
      </c>
      <c r="C15" s="21" t="s">
        <v>64</v>
      </c>
      <c r="D15" s="22">
        <v>42877</v>
      </c>
      <c r="E15" s="23">
        <v>0.736111111111111</v>
      </c>
      <c r="F15" s="22">
        <v>42877</v>
      </c>
      <c r="G15" s="23">
        <v>0.896527777777778</v>
      </c>
      <c r="H15" s="21" t="s">
        <v>66</v>
      </c>
    </row>
    <row r="16" spans="1:8" ht="15.75" thickBot="1">
      <c r="A16" s="20" t="s">
        <v>223</v>
      </c>
      <c r="B16" s="13" t="s">
        <v>213</v>
      </c>
      <c r="C16" s="162" t="s">
        <v>64</v>
      </c>
      <c r="D16" s="14">
        <v>42900</v>
      </c>
      <c r="E16" s="15">
        <v>0.0131944444444444</v>
      </c>
      <c r="F16" s="14">
        <v>42900</v>
      </c>
      <c r="G16" s="15">
        <v>0.376388888888889</v>
      </c>
      <c r="H16" s="13" t="s">
        <v>224</v>
      </c>
    </row>
    <row r="17" spans="1:8" ht="15.75" thickBot="1">
      <c r="A17" s="20" t="s">
        <v>223</v>
      </c>
      <c r="B17" s="13" t="s">
        <v>213</v>
      </c>
      <c r="C17" s="162" t="s">
        <v>64</v>
      </c>
      <c r="D17" s="14">
        <v>42900</v>
      </c>
      <c r="E17" s="15">
        <v>0.377083333333333</v>
      </c>
      <c r="F17" s="14">
        <v>42900</v>
      </c>
      <c r="G17" s="15">
        <v>0.420833333333333</v>
      </c>
      <c r="H17" s="13" t="s">
        <v>225</v>
      </c>
    </row>
    <row r="18" spans="1:8" ht="15">
      <c r="A18" s="20" t="s">
        <v>223</v>
      </c>
      <c r="B18" s="13" t="s">
        <v>213</v>
      </c>
      <c r="C18" s="162" t="s">
        <v>64</v>
      </c>
      <c r="D18" s="14">
        <v>42900</v>
      </c>
      <c r="E18" s="15">
        <v>0.421527777777778</v>
      </c>
      <c r="F18" s="14">
        <v>42900</v>
      </c>
      <c r="G18" s="15">
        <v>0.455555555555556</v>
      </c>
      <c r="H18" s="13" t="s">
        <v>226</v>
      </c>
    </row>
    <row r="19" spans="1:8" ht="15">
      <c r="A19" s="157"/>
      <c r="B19" s="13"/>
      <c r="C19" s="162"/>
      <c r="D19" s="14"/>
      <c r="E19" s="15"/>
      <c r="F19" s="14"/>
      <c r="G19" s="15"/>
      <c r="H19" s="13"/>
    </row>
    <row r="20" spans="1:8" ht="15">
      <c r="A20" s="12" t="s">
        <v>227</v>
      </c>
      <c r="B20" s="13" t="s">
        <v>58</v>
      </c>
      <c r="C20" s="13" t="s">
        <v>64</v>
      </c>
      <c r="D20" s="14">
        <v>42870</v>
      </c>
      <c r="E20" s="15">
        <v>0.471527777777778</v>
      </c>
      <c r="F20" s="14">
        <v>42870</v>
      </c>
      <c r="G20" s="15">
        <v>0.753472222222222</v>
      </c>
      <c r="H20" s="13" t="s">
        <v>69</v>
      </c>
    </row>
    <row r="21" spans="1:8" ht="15">
      <c r="A21" s="12" t="s">
        <v>227</v>
      </c>
      <c r="B21" s="13" t="s">
        <v>58</v>
      </c>
      <c r="C21" s="13" t="s">
        <v>64</v>
      </c>
      <c r="D21" s="14">
        <v>42871</v>
      </c>
      <c r="E21" s="15">
        <v>0.386805555555556</v>
      </c>
      <c r="F21" s="14">
        <v>42871</v>
      </c>
      <c r="G21" s="15">
        <v>0.550694444444444</v>
      </c>
      <c r="H21" s="13" t="s">
        <v>70</v>
      </c>
    </row>
    <row r="22" spans="1:8" ht="15">
      <c r="A22" s="12" t="s">
        <v>227</v>
      </c>
      <c r="B22" s="13" t="s">
        <v>61</v>
      </c>
      <c r="C22" s="13" t="s">
        <v>63</v>
      </c>
      <c r="D22" s="14">
        <v>42883</v>
      </c>
      <c r="E22" s="15">
        <v>0.00138888888888889</v>
      </c>
      <c r="F22" s="14">
        <v>42886</v>
      </c>
      <c r="G22" s="15">
        <v>1</v>
      </c>
      <c r="H22" s="13" t="s">
        <v>71</v>
      </c>
    </row>
    <row r="23" spans="1:8" ht="15">
      <c r="A23" s="12" t="s">
        <v>227</v>
      </c>
      <c r="B23" s="13" t="s">
        <v>228</v>
      </c>
      <c r="C23" s="162" t="s">
        <v>64</v>
      </c>
      <c r="D23" s="14">
        <v>42887</v>
      </c>
      <c r="E23" s="15">
        <v>0.46875</v>
      </c>
      <c r="F23" s="14">
        <v>42887</v>
      </c>
      <c r="G23" s="15">
        <v>0.658333333333333</v>
      </c>
      <c r="H23" s="13" t="s">
        <v>229</v>
      </c>
    </row>
    <row r="24" spans="1:8" ht="15">
      <c r="A24" s="12" t="s">
        <v>227</v>
      </c>
      <c r="B24" s="13" t="s">
        <v>230</v>
      </c>
      <c r="C24" s="162" t="s">
        <v>64</v>
      </c>
      <c r="D24" s="14">
        <v>42889</v>
      </c>
      <c r="E24" s="15">
        <v>0.665277777777778</v>
      </c>
      <c r="F24" s="14">
        <v>42889</v>
      </c>
      <c r="G24" s="15">
        <v>0.806944444444444</v>
      </c>
      <c r="H24" s="13" t="s">
        <v>231</v>
      </c>
    </row>
    <row r="25" spans="1:8" ht="15">
      <c r="A25" s="12" t="s">
        <v>227</v>
      </c>
      <c r="B25" s="13" t="s">
        <v>232</v>
      </c>
      <c r="C25" s="162" t="s">
        <v>64</v>
      </c>
      <c r="D25" s="14">
        <v>42916</v>
      </c>
      <c r="E25" s="15">
        <v>0.213888888888889</v>
      </c>
      <c r="F25" s="14">
        <v>42916</v>
      </c>
      <c r="G25" s="15">
        <v>0.368055555555556</v>
      </c>
      <c r="H25" s="13" t="s">
        <v>233</v>
      </c>
    </row>
    <row r="26" spans="1:8" ht="15">
      <c r="A26" s="12" t="s">
        <v>227</v>
      </c>
      <c r="B26" s="13" t="s">
        <v>213</v>
      </c>
      <c r="C26" s="162" t="s">
        <v>63</v>
      </c>
      <c r="D26" s="14">
        <v>42887</v>
      </c>
      <c r="E26" s="15">
        <v>0</v>
      </c>
      <c r="F26" s="14">
        <v>42916</v>
      </c>
      <c r="G26" s="15">
        <v>1</v>
      </c>
      <c r="H26" s="13" t="s">
        <v>234</v>
      </c>
    </row>
    <row r="27" spans="1:8" ht="15">
      <c r="A27" s="12"/>
      <c r="B27" s="13"/>
      <c r="C27" s="162"/>
      <c r="D27" s="14"/>
      <c r="E27" s="15"/>
      <c r="F27" s="14"/>
      <c r="G27" s="15"/>
      <c r="H27" s="13"/>
    </row>
    <row r="28" spans="1:8" ht="15">
      <c r="A28" s="12" t="s">
        <v>235</v>
      </c>
      <c r="B28" s="13" t="s">
        <v>216</v>
      </c>
      <c r="C28" s="162" t="s">
        <v>64</v>
      </c>
      <c r="D28" s="14">
        <v>42892</v>
      </c>
      <c r="E28" s="15">
        <v>0.0722222222222222</v>
      </c>
      <c r="F28" s="14">
        <v>42894</v>
      </c>
      <c r="G28" s="15">
        <v>0.425694444444444</v>
      </c>
      <c r="H28" s="13" t="s">
        <v>236</v>
      </c>
    </row>
    <row r="29" spans="1:8" ht="15">
      <c r="A29" s="12" t="s">
        <v>235</v>
      </c>
      <c r="B29" s="13" t="s">
        <v>216</v>
      </c>
      <c r="C29" s="162" t="s">
        <v>64</v>
      </c>
      <c r="D29" s="14">
        <v>42906</v>
      </c>
      <c r="E29" s="15">
        <v>0.927083333333333</v>
      </c>
      <c r="F29" s="14">
        <v>42908</v>
      </c>
      <c r="G29" s="15">
        <v>0.605555555555556</v>
      </c>
      <c r="H29" s="13" t="s">
        <v>237</v>
      </c>
    </row>
    <row r="30" spans="1:8" ht="15">
      <c r="A30" s="12" t="s">
        <v>235</v>
      </c>
      <c r="B30" s="13" t="s">
        <v>216</v>
      </c>
      <c r="C30" s="162" t="s">
        <v>64</v>
      </c>
      <c r="D30" s="14">
        <v>42909</v>
      </c>
      <c r="E30" s="15">
        <v>0.461805555555556</v>
      </c>
      <c r="F30" s="14">
        <v>42909</v>
      </c>
      <c r="G30" s="15">
        <v>0.545138888888889</v>
      </c>
      <c r="H30" s="13" t="s">
        <v>238</v>
      </c>
    </row>
    <row r="31" spans="1:8" ht="15">
      <c r="A31" s="12" t="s">
        <v>235</v>
      </c>
      <c r="B31" s="13" t="s">
        <v>219</v>
      </c>
      <c r="C31" s="162" t="s">
        <v>64</v>
      </c>
      <c r="D31" s="14">
        <v>42887</v>
      </c>
      <c r="E31" s="15">
        <v>0.401388888888889</v>
      </c>
      <c r="F31" s="14">
        <v>42887</v>
      </c>
      <c r="G31" s="15">
        <v>1</v>
      </c>
      <c r="H31" s="13" t="s">
        <v>239</v>
      </c>
    </row>
    <row r="32" spans="1:8" ht="15">
      <c r="A32" s="12" t="s">
        <v>235</v>
      </c>
      <c r="B32" s="13" t="s">
        <v>219</v>
      </c>
      <c r="C32" s="162" t="s">
        <v>64</v>
      </c>
      <c r="D32" s="14">
        <v>42888</v>
      </c>
      <c r="E32" s="15">
        <v>0</v>
      </c>
      <c r="F32" s="14">
        <v>42888</v>
      </c>
      <c r="G32" s="15">
        <v>0.11875</v>
      </c>
      <c r="H32" s="13" t="s">
        <v>240</v>
      </c>
    </row>
    <row r="33" spans="1:8" ht="15">
      <c r="A33" s="12"/>
      <c r="B33" s="13"/>
      <c r="C33" s="162"/>
      <c r="D33" s="14"/>
      <c r="E33" s="15"/>
      <c r="F33" s="14"/>
      <c r="G33" s="15"/>
      <c r="H33" s="13"/>
    </row>
    <row r="34" spans="1:8" ht="15">
      <c r="A34" s="12" t="s">
        <v>241</v>
      </c>
      <c r="B34" s="13" t="s">
        <v>228</v>
      </c>
      <c r="C34" s="162" t="s">
        <v>64</v>
      </c>
      <c r="D34" s="14">
        <v>42889</v>
      </c>
      <c r="E34" s="15">
        <v>0.495138888888889</v>
      </c>
      <c r="F34" s="14">
        <v>42889</v>
      </c>
      <c r="G34" s="15">
        <v>0.865277777777778</v>
      </c>
      <c r="H34" s="13" t="s">
        <v>242</v>
      </c>
    </row>
    <row r="35" spans="1:8" ht="15">
      <c r="A35" s="12" t="s">
        <v>241</v>
      </c>
      <c r="B35" s="13" t="s">
        <v>228</v>
      </c>
      <c r="C35" s="162" t="s">
        <v>64</v>
      </c>
      <c r="D35" s="14">
        <v>42901</v>
      </c>
      <c r="E35" s="15">
        <v>0.878472222222222</v>
      </c>
      <c r="F35" s="14">
        <v>42903</v>
      </c>
      <c r="G35" s="15">
        <v>0.640972222222222</v>
      </c>
      <c r="H35" s="13" t="s">
        <v>243</v>
      </c>
    </row>
    <row r="36" spans="1:8" ht="15">
      <c r="A36" s="12" t="s">
        <v>241</v>
      </c>
      <c r="B36" s="13" t="s">
        <v>228</v>
      </c>
      <c r="C36" s="162" t="s">
        <v>64</v>
      </c>
      <c r="D36" s="14">
        <v>42904</v>
      </c>
      <c r="E36" s="15">
        <v>0.724305555555556</v>
      </c>
      <c r="F36" s="14">
        <v>42905</v>
      </c>
      <c r="G36" s="15">
        <v>0.655555555555556</v>
      </c>
      <c r="H36" s="13" t="s">
        <v>244</v>
      </c>
    </row>
  </sheetData>
  <sheetProtection/>
  <mergeCells count="1">
    <mergeCell ref="A1:H1"/>
  </mergeCells>
  <printOptions/>
  <pageMargins left="0.7086614173228347" right="0.7086614173228347" top="0.53" bottom="0.2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2017-07-19T10:22:28Z</dcterms:modified>
  <cp:category/>
  <cp:version/>
  <cp:contentType/>
  <cp:contentStatus/>
</cp:coreProperties>
</file>