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REA 2024-25\May 2024\"/>
    </mc:Choice>
  </mc:AlternateContent>
  <xr:revisionPtr revIDLastSave="0" documentId="13_ncr:1_{3F32B4A7-E95E-4568-B017-7F53109471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(17)" sheetId="2" r:id="rId1"/>
  </sheets>
  <definedNames>
    <definedName name="_xlnm.Print_Area" localSheetId="0">'data (17)'!$A$11:$N$630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9" i="2" l="1"/>
  <c r="K610" i="2"/>
  <c r="K611" i="2"/>
  <c r="K612" i="2"/>
  <c r="K613" i="2"/>
  <c r="K608" i="2"/>
  <c r="J629" i="2"/>
  <c r="I629" i="2"/>
  <c r="J614" i="2"/>
  <c r="I614" i="2"/>
  <c r="J595" i="2"/>
  <c r="I595" i="2"/>
  <c r="J562" i="2"/>
  <c r="I562" i="2"/>
  <c r="J536" i="2"/>
  <c r="I536" i="2"/>
  <c r="J511" i="2"/>
  <c r="I511" i="2"/>
  <c r="K393" i="2"/>
  <c r="J424" i="2"/>
  <c r="I424" i="2"/>
  <c r="J404" i="2"/>
  <c r="I404" i="2"/>
  <c r="J377" i="2"/>
  <c r="I377" i="2"/>
  <c r="J363" i="2"/>
  <c r="I363" i="2"/>
  <c r="J345" i="2"/>
  <c r="I345" i="2"/>
  <c r="J328" i="2"/>
  <c r="I328" i="2"/>
  <c r="J310" i="2"/>
  <c r="I310" i="2"/>
  <c r="J300" i="2"/>
  <c r="I300" i="2"/>
  <c r="J282" i="2"/>
  <c r="I282" i="2"/>
  <c r="J266" i="2"/>
  <c r="I266" i="2"/>
  <c r="J248" i="2"/>
  <c r="I248" i="2"/>
  <c r="J224" i="2"/>
  <c r="I224" i="2"/>
  <c r="J159" i="2" l="1"/>
  <c r="I159" i="2"/>
  <c r="J146" i="2"/>
  <c r="I146" i="2"/>
  <c r="J127" i="2"/>
  <c r="I127" i="2"/>
  <c r="J96" i="2"/>
  <c r="I96" i="2"/>
  <c r="D68" i="2"/>
  <c r="E68" i="2"/>
  <c r="F68" i="2"/>
  <c r="G68" i="2"/>
  <c r="H68" i="2"/>
  <c r="I68" i="2"/>
  <c r="J68" i="2"/>
  <c r="K68" i="2"/>
  <c r="L68" i="2"/>
  <c r="M68" i="2"/>
  <c r="N68" i="2"/>
  <c r="C68" i="2"/>
  <c r="D66" i="2"/>
  <c r="E66" i="2"/>
  <c r="F66" i="2"/>
  <c r="G66" i="2"/>
  <c r="H66" i="2"/>
  <c r="I66" i="2"/>
  <c r="J66" i="2"/>
  <c r="K66" i="2"/>
  <c r="L66" i="2"/>
  <c r="M66" i="2"/>
  <c r="N66" i="2"/>
  <c r="C66" i="2"/>
  <c r="C35" i="2"/>
  <c r="D65" i="2"/>
  <c r="E65" i="2"/>
  <c r="F65" i="2"/>
  <c r="G65" i="2"/>
  <c r="H65" i="2"/>
  <c r="I65" i="2"/>
  <c r="J65" i="2"/>
  <c r="K65" i="2"/>
  <c r="L65" i="2"/>
  <c r="M65" i="2"/>
  <c r="N65" i="2"/>
  <c r="C65" i="2"/>
  <c r="D58" i="2"/>
  <c r="E58" i="2"/>
  <c r="F58" i="2"/>
  <c r="G58" i="2"/>
  <c r="H58" i="2"/>
  <c r="I58" i="2"/>
  <c r="J58" i="2"/>
  <c r="K58" i="2"/>
  <c r="L58" i="2"/>
  <c r="M58" i="2"/>
  <c r="N58" i="2"/>
  <c r="C28" i="2"/>
  <c r="C58" i="2"/>
  <c r="D38" i="2"/>
  <c r="E38" i="2"/>
  <c r="F38" i="2"/>
  <c r="G38" i="2"/>
  <c r="H38" i="2"/>
  <c r="I38" i="2"/>
  <c r="J38" i="2"/>
  <c r="K38" i="2"/>
  <c r="L38" i="2"/>
  <c r="M38" i="2"/>
  <c r="N38" i="2"/>
  <c r="C38" i="2"/>
  <c r="D36" i="2"/>
  <c r="E36" i="2"/>
  <c r="F36" i="2"/>
  <c r="G36" i="2"/>
  <c r="H36" i="2"/>
  <c r="I36" i="2"/>
  <c r="J36" i="2"/>
  <c r="K36" i="2"/>
  <c r="L36" i="2"/>
  <c r="M36" i="2"/>
  <c r="N36" i="2"/>
  <c r="C36" i="2"/>
  <c r="D35" i="2"/>
  <c r="E35" i="2"/>
  <c r="F35" i="2"/>
  <c r="G35" i="2"/>
  <c r="H35" i="2"/>
  <c r="I35" i="2"/>
  <c r="J35" i="2"/>
  <c r="K35" i="2"/>
  <c r="L35" i="2"/>
  <c r="M35" i="2"/>
  <c r="N35" i="2"/>
  <c r="D28" i="2" l="1"/>
  <c r="E28" i="2"/>
  <c r="F28" i="2"/>
  <c r="G28" i="2"/>
  <c r="H28" i="2"/>
  <c r="I28" i="2"/>
  <c r="J28" i="2"/>
  <c r="K28" i="2"/>
  <c r="L28" i="2"/>
  <c r="M28" i="2"/>
  <c r="N28" i="2"/>
  <c r="F536" i="2" l="1"/>
  <c r="C536" i="2"/>
  <c r="D511" i="2"/>
  <c r="D536" i="2" s="1"/>
  <c r="F511" i="2"/>
  <c r="G511" i="2"/>
  <c r="G536" i="2" s="1"/>
  <c r="C511" i="2"/>
  <c r="H497" i="2"/>
  <c r="H511" i="2" s="1"/>
  <c r="H536" i="2" s="1"/>
  <c r="H498" i="2"/>
  <c r="H499" i="2"/>
  <c r="H500" i="2"/>
  <c r="H501" i="2"/>
  <c r="H496" i="2"/>
  <c r="E497" i="2"/>
  <c r="E498" i="2"/>
  <c r="E499" i="2"/>
  <c r="E500" i="2"/>
  <c r="E501" i="2"/>
  <c r="G496" i="2"/>
  <c r="D496" i="2"/>
  <c r="F496" i="2"/>
  <c r="C496" i="2"/>
  <c r="E496" i="2" s="1"/>
  <c r="E511" i="2" s="1"/>
  <c r="E536" i="2" s="1"/>
  <c r="N26" i="2"/>
  <c r="M26" i="2"/>
  <c r="G345" i="2"/>
  <c r="G328" i="2"/>
  <c r="C328" i="2"/>
  <c r="C345" i="2" s="1"/>
  <c r="H324" i="2"/>
  <c r="H325" i="2"/>
  <c r="H326" i="2"/>
  <c r="H327" i="2"/>
  <c r="H323" i="2"/>
  <c r="H328" i="2" s="1"/>
  <c r="H345" i="2" s="1"/>
  <c r="E324" i="2"/>
  <c r="E325" i="2"/>
  <c r="E326" i="2"/>
  <c r="E327" i="2"/>
  <c r="G323" i="2"/>
  <c r="D323" i="2"/>
  <c r="D328" i="2" s="1"/>
  <c r="D345" i="2" s="1"/>
  <c r="F323" i="2"/>
  <c r="F328" i="2" s="1"/>
  <c r="F345" i="2" s="1"/>
  <c r="C323" i="2"/>
  <c r="E323" i="2" s="1"/>
  <c r="E328" i="2" s="1"/>
  <c r="E345" i="2" s="1"/>
  <c r="L56" i="2"/>
  <c r="K56" i="2"/>
  <c r="D146" i="2"/>
  <c r="D159" i="2" s="1"/>
  <c r="E146" i="2"/>
  <c r="E159" i="2" s="1"/>
  <c r="F146" i="2"/>
  <c r="F159" i="2" s="1"/>
  <c r="H141" i="2"/>
  <c r="H142" i="2"/>
  <c r="H143" i="2"/>
  <c r="H144" i="2"/>
  <c r="H145" i="2"/>
  <c r="E141" i="2"/>
  <c r="E142" i="2"/>
  <c r="E143" i="2"/>
  <c r="E144" i="2"/>
  <c r="E145" i="2"/>
  <c r="E140" i="2"/>
  <c r="G140" i="2"/>
  <c r="G146" i="2" s="1"/>
  <c r="G159" i="2" s="1"/>
  <c r="D140" i="2"/>
  <c r="F140" i="2"/>
  <c r="C140" i="2"/>
  <c r="C146" i="2" s="1"/>
  <c r="C159" i="2" s="1"/>
  <c r="H56" i="2"/>
  <c r="G56" i="2"/>
  <c r="G266" i="2"/>
  <c r="G282" i="2" s="1"/>
  <c r="H262" i="2"/>
  <c r="H263" i="2"/>
  <c r="H264" i="2"/>
  <c r="H265" i="2"/>
  <c r="E262" i="2"/>
  <c r="E263" i="2"/>
  <c r="E264" i="2"/>
  <c r="E265" i="2"/>
  <c r="G261" i="2"/>
  <c r="D261" i="2"/>
  <c r="D266" i="2" s="1"/>
  <c r="D282" i="2" s="1"/>
  <c r="F261" i="2"/>
  <c r="H261" i="2" s="1"/>
  <c r="H266" i="2" s="1"/>
  <c r="H282" i="2" s="1"/>
  <c r="C261" i="2"/>
  <c r="C266" i="2" s="1"/>
  <c r="C282" i="2" s="1"/>
  <c r="N56" i="2"/>
  <c r="M56" i="2"/>
  <c r="G300" i="2"/>
  <c r="G310" i="2" s="1"/>
  <c r="C300" i="2"/>
  <c r="C310" i="2" s="1"/>
  <c r="H296" i="2"/>
  <c r="H297" i="2"/>
  <c r="H298" i="2"/>
  <c r="H299" i="2"/>
  <c r="E296" i="2"/>
  <c r="E297" i="2"/>
  <c r="E298" i="2"/>
  <c r="E299" i="2"/>
  <c r="G295" i="2"/>
  <c r="D295" i="2"/>
  <c r="D300" i="2" s="1"/>
  <c r="D310" i="2" s="1"/>
  <c r="F295" i="2"/>
  <c r="H295" i="2" s="1"/>
  <c r="H300" i="2" s="1"/>
  <c r="C295" i="2"/>
  <c r="E295" i="2" s="1"/>
  <c r="E300" i="2" s="1"/>
  <c r="E310" i="2" s="1"/>
  <c r="D26" i="2"/>
  <c r="C26" i="2"/>
  <c r="F629" i="2"/>
  <c r="G629" i="2"/>
  <c r="H626" i="2"/>
  <c r="H628" i="2"/>
  <c r="H625" i="2"/>
  <c r="G627" i="2"/>
  <c r="H627" i="2" s="1"/>
  <c r="H629" i="2" s="1"/>
  <c r="F595" i="2"/>
  <c r="H592" i="2"/>
  <c r="H594" i="2"/>
  <c r="H591" i="2"/>
  <c r="G593" i="2"/>
  <c r="G595" i="2" s="1"/>
  <c r="H532" i="2"/>
  <c r="H533" i="2"/>
  <c r="H534" i="2"/>
  <c r="H535" i="2"/>
  <c r="H531" i="2"/>
  <c r="G534" i="2"/>
  <c r="H479" i="2"/>
  <c r="H480" i="2"/>
  <c r="H478" i="2"/>
  <c r="G481" i="2"/>
  <c r="G483" i="2" s="1"/>
  <c r="G482" i="2"/>
  <c r="F482" i="2"/>
  <c r="F483" i="2" s="1"/>
  <c r="G422" i="2"/>
  <c r="H422" i="2" s="1"/>
  <c r="G423" i="2"/>
  <c r="G424" i="2" s="1"/>
  <c r="F424" i="2"/>
  <c r="H421" i="2"/>
  <c r="H420" i="2"/>
  <c r="H342" i="2"/>
  <c r="H344" i="2"/>
  <c r="H341" i="2"/>
  <c r="G343" i="2"/>
  <c r="H343" i="2" s="1"/>
  <c r="H307" i="2"/>
  <c r="H309" i="2"/>
  <c r="H306" i="2"/>
  <c r="G308" i="2"/>
  <c r="H308" i="2" s="1"/>
  <c r="G281" i="2"/>
  <c r="H281" i="2" s="1"/>
  <c r="H279" i="2"/>
  <c r="H278" i="2"/>
  <c r="G280" i="2"/>
  <c r="H280" i="2" s="1"/>
  <c r="F248" i="2"/>
  <c r="H245" i="2"/>
  <c r="H247" i="2"/>
  <c r="H244" i="2"/>
  <c r="G246" i="2"/>
  <c r="G248" i="2" s="1"/>
  <c r="H156" i="2"/>
  <c r="H158" i="2"/>
  <c r="H155" i="2"/>
  <c r="G157" i="2"/>
  <c r="H157" i="2" s="1"/>
  <c r="F127" i="2"/>
  <c r="H123" i="2"/>
  <c r="H124" i="2"/>
  <c r="H126" i="2"/>
  <c r="H122" i="2"/>
  <c r="G125" i="2"/>
  <c r="G127" i="2" s="1"/>
  <c r="H310" i="2" l="1"/>
  <c r="F266" i="2"/>
  <c r="F282" i="2" s="1"/>
  <c r="E261" i="2"/>
  <c r="E266" i="2" s="1"/>
  <c r="E282" i="2" s="1"/>
  <c r="H482" i="2"/>
  <c r="H593" i="2"/>
  <c r="H595" i="2" s="1"/>
  <c r="F300" i="2"/>
  <c r="F310" i="2" s="1"/>
  <c r="H481" i="2"/>
  <c r="H483" i="2" s="1"/>
  <c r="H140" i="2"/>
  <c r="H146" i="2" s="1"/>
  <c r="H159" i="2" s="1"/>
  <c r="H246" i="2"/>
  <c r="H248" i="2" s="1"/>
  <c r="H127" i="2"/>
  <c r="H125" i="2"/>
  <c r="H423" i="2"/>
  <c r="H424" i="2"/>
</calcChain>
</file>

<file path=xl/sharedStrings.xml><?xml version="1.0" encoding="utf-8"?>
<sst xmlns="http://schemas.openxmlformats.org/spreadsheetml/2006/main" count="956" uniqueCount="148">
  <si>
    <t>REA Report (Part - A, B and Bihar)</t>
  </si>
  <si>
    <t>(As per new Regulation effective from 01.04.2020)</t>
  </si>
  <si>
    <t>Download Excel</t>
  </si>
  <si>
    <t>EASTERN REGIONAL POWER COMMITTEE :: KOLKATA</t>
  </si>
  <si>
    <t>REGIONAL ENERGY ACCOUNTING FOR THE MONTH OF MAY-2024</t>
  </si>
  <si>
    <t>SR.</t>
  </si>
  <si>
    <t>NTPC POWER STATIONS</t>
  </si>
  <si>
    <t>North Karanpura STPS</t>
  </si>
  <si>
    <t>FSTPP I &amp; II</t>
  </si>
  <si>
    <t>FSTPP-III</t>
  </si>
  <si>
    <t>KHSTPP-I</t>
  </si>
  <si>
    <t>KHSTPP-II</t>
  </si>
  <si>
    <t>TSTPP-I</t>
  </si>
  <si>
    <t>Peak</t>
  </si>
  <si>
    <t>Off-Peak</t>
  </si>
  <si>
    <t>Installed Capacity (MW) :</t>
  </si>
  <si>
    <t>Ex-Bus Normative Capacity at 100% availability (MW) :</t>
  </si>
  <si>
    <t>Average DC for the month (ex-bus) in MW:</t>
  </si>
  <si>
    <t>Plant Availability Factor for Month - PAFM ( %):</t>
  </si>
  <si>
    <t>Cumulative DC up to the preceeding month (%):</t>
  </si>
  <si>
    <t>Cumulative DC including the current month --PAFY (%):</t>
  </si>
  <si>
    <t>Total Schduled Generation for the current month (MWH) :</t>
  </si>
  <si>
    <t>Total Schduled Generation Excluding STOA/IER Exchange (MWH) :</t>
  </si>
  <si>
    <t>Cumulative Schduled Ex-bus Generation upto the preceding month (MWH) :</t>
  </si>
  <si>
    <t>Cumulative Schduled Ex-bus Generation including the current month (MWH) :</t>
  </si>
  <si>
    <t>Plant Load Factor for the current month ( % ) :</t>
  </si>
  <si>
    <t>Cumulative Plant Load Factor including the current month ( % ) :</t>
  </si>
  <si>
    <t>Cumulative Norm. Scheduled Energy beyond which incentive payable (MWH) :</t>
  </si>
  <si>
    <t>Net Energy Scheduled to Virtual Anciliary Entity (VAE) for the month:</t>
  </si>
  <si>
    <t>Net Energy Scheduled to Virtual SCED Entity for the month(*):</t>
  </si>
  <si>
    <t>Cumulative Scheduled Generation to be con. for incentive upto preceding month</t>
  </si>
  <si>
    <t>Cumulative Scheduled Generation to be considered for incentive upto current month</t>
  </si>
  <si>
    <t>Cumulative Energy eligible for incentive including current month (MWH) :</t>
  </si>
  <si>
    <t>Cumulative Energy eligible for incentive upto preceding month ( MWH ) :</t>
  </si>
  <si>
    <t>Energy eligible for incentive in the current month ( MWH ) :</t>
  </si>
  <si>
    <t>BARH</t>
  </si>
  <si>
    <t>BRBCL</t>
  </si>
  <si>
    <t>MTPS-II</t>
  </si>
  <si>
    <t>Darlipali_NTPC</t>
  </si>
  <si>
    <t>NPGC</t>
  </si>
  <si>
    <t>BARH-I</t>
  </si>
  <si>
    <t>REGIONAL ENERGY ACCOUNTING FOR THE MONTH OF MAY-2024(NA)</t>
  </si>
  <si>
    <t>KHSTPP STAGE - I       (4x210)</t>
  </si>
  <si>
    <t>ENTITLEMENT, INCENTIVE (IF ANY) &amp; DRAWL SCHEDULE OF BENEFICIARIES</t>
  </si>
  <si>
    <t>BENEFICIARIES</t>
  </si>
  <si>
    <t>SHARE ALLOCATION OF CURRENT MONTH</t>
  </si>
  <si>
    <t>ENTITLEMENT OF THE BENEFICIARIES (Peak)</t>
  </si>
  <si>
    <t>ENTITLEMENT OF THE BENEFICIARIES (Offpeak)</t>
  </si>
  <si>
    <t>ENTITLEMENT OF THE BENEFICIARIES (Total)</t>
  </si>
  <si>
    <t>DRAWAL SCHEDULE (Peak)</t>
  </si>
  <si>
    <t>DRAWAL SCHEDULE (Offpeak)</t>
  </si>
  <si>
    <t>DRAWAL SCHEDULE (Total)</t>
  </si>
  <si>
    <t>CUMULATIVE ENTITLEMENT OF THE BENEFICIARIES</t>
  </si>
  <si>
    <t>CUMULATIVE DRAWAL SCHEDULE</t>
  </si>
  <si>
    <t>QUANTUM OF SCHUDULE BELOW 85% OF ENTITLEMENT</t>
  </si>
  <si>
    <t>(%)</t>
  </si>
  <si>
    <t>(MWH)</t>
  </si>
  <si>
    <t xml:space="preserve">ER : </t>
  </si>
  <si>
    <t>BIHAR</t>
  </si>
  <si>
    <t>DVC</t>
  </si>
  <si>
    <t>JHARKHAND</t>
  </si>
  <si>
    <t>ODISHA</t>
  </si>
  <si>
    <t>POWERGRID (PUSAULI)</t>
  </si>
  <si>
    <t>SIKKIM</t>
  </si>
  <si>
    <t>WEST BENGAL</t>
  </si>
  <si>
    <t>ODISHA Solar</t>
  </si>
  <si>
    <t>-</t>
  </si>
  <si>
    <t>ODISHA (COAL POWER - AFTAB)</t>
  </si>
  <si>
    <t>ODISHA (COAL POWER - DADRI)</t>
  </si>
  <si>
    <t>ODISHA (COAL POWER - Faridabad)</t>
  </si>
  <si>
    <t>ODISHA (COAL POWER - Rajasthan)</t>
  </si>
  <si>
    <t>ODISHA (COAL POWER - Raj-II SunTech)</t>
  </si>
  <si>
    <t>WEST_BENGAL Solar</t>
  </si>
  <si>
    <t>West Bengal (COAL POWER - Rajasthan)</t>
  </si>
  <si>
    <t>West Bengal (COAL POWER- Raj-II SunTech)</t>
  </si>
  <si>
    <t>ER Total</t>
  </si>
  <si>
    <t xml:space="preserve">SR : </t>
  </si>
  <si>
    <t>TAMILNADU</t>
  </si>
  <si>
    <t>TELANGANA (NSM-II)</t>
  </si>
  <si>
    <t>SR Total</t>
  </si>
  <si>
    <t xml:space="preserve">WR : </t>
  </si>
  <si>
    <t>GUJARAT</t>
  </si>
  <si>
    <t>WR Total</t>
  </si>
  <si>
    <t xml:space="preserve">NR : </t>
  </si>
  <si>
    <t>DELHI</t>
  </si>
  <si>
    <t>HARYANA</t>
  </si>
  <si>
    <t>JK&amp;LADAKH</t>
  </si>
  <si>
    <t>PUNJAB</t>
  </si>
  <si>
    <t>RAJASTHAN</t>
  </si>
  <si>
    <t>UTTAR PRADESH</t>
  </si>
  <si>
    <t>UTTARAKHAND</t>
  </si>
  <si>
    <t>NR Total</t>
  </si>
  <si>
    <t xml:space="preserve">NER : </t>
  </si>
  <si>
    <t>ARUNACHAL PRADESH</t>
  </si>
  <si>
    <t>MEGHALAYA</t>
  </si>
  <si>
    <t>MIZORAM</t>
  </si>
  <si>
    <t>NAGALAND</t>
  </si>
  <si>
    <t>ASSAM</t>
  </si>
  <si>
    <t>ASSAM (COAL POWER - Rajasthan)</t>
  </si>
  <si>
    <t>NER Total</t>
  </si>
  <si>
    <t>NVVN POWER - A/C BPDB</t>
  </si>
  <si>
    <t>SCED (DOWN)</t>
  </si>
  <si>
    <t>SCED (UP)</t>
  </si>
  <si>
    <t>VAE (DOWN)</t>
  </si>
  <si>
    <t>VAE (UP)</t>
  </si>
  <si>
    <t>Grand Total</t>
  </si>
  <si>
    <t>MTPS STAGE - II       (2x195)</t>
  </si>
  <si>
    <t>REGIONAL ENERGY ACCOUNTING FOR THE MONTH OF MAY-2024()</t>
  </si>
  <si>
    <t>RANGIT HPS       (3x20)</t>
  </si>
  <si>
    <t>TEESTA STAGE - V HPS       (3x170)</t>
  </si>
  <si>
    <t>BRBCL       (3x250)</t>
  </si>
  <si>
    <t>RLY BIHAR</t>
  </si>
  <si>
    <t>RLY BIHAR ISTS</t>
  </si>
  <si>
    <t>RLY DVC</t>
  </si>
  <si>
    <t>KARNATAKA_RLY</t>
  </si>
  <si>
    <t>RLY MADHYA PRADESH</t>
  </si>
  <si>
    <t>RLY MAHA RASHTRA</t>
  </si>
  <si>
    <t>RLY UTTAR PRADESH(ISTS Points)</t>
  </si>
  <si>
    <t>BARH STPS STAGE - I       (3x660)</t>
  </si>
  <si>
    <t>North Karanpura STPS       (3x660)</t>
  </si>
  <si>
    <t>Nabinagar STPP       (1x660)</t>
  </si>
  <si>
    <t>Darlipalli STPS-I       (1X800)</t>
  </si>
  <si>
    <t>FSTPS STAGE - III       (1x500)</t>
  </si>
  <si>
    <t>FSTPS STAGE - I &amp; II        (3X200+2X500)</t>
  </si>
  <si>
    <t>KPTCL</t>
  </si>
  <si>
    <t>TSTPP STAGE - I       (2x500)</t>
  </si>
  <si>
    <t>KHSTPP STAGE - II       (3x500)</t>
  </si>
  <si>
    <t>CHHATTISGARH</t>
  </si>
  <si>
    <t>DADRA &amp; NAGAR HAVELI &amp; DAMAN &amp; DIU</t>
  </si>
  <si>
    <t>MADHYA PRADESH</t>
  </si>
  <si>
    <t>MAHARASHTRA</t>
  </si>
  <si>
    <t>CHANDIGARH</t>
  </si>
  <si>
    <t>HIMACHAL PRADESH</t>
  </si>
  <si>
    <t>BARH STPS STAGE - II        (2x660)</t>
  </si>
  <si>
    <t>POWERGRID (ALIPURDUAR)</t>
  </si>
  <si>
    <t># BREAK-UP OF REGIONAL ENERGY ACCOUNTING OF BIHAR AMONG NBPDCL AND SBPDCL</t>
  </si>
  <si>
    <t>FOR THE MONTH OF MAY-2024</t>
  </si>
  <si>
    <t>NAME OF POWER STATION</t>
  </si>
  <si>
    <t>DRAWAL SCHEDULE</t>
  </si>
  <si>
    <t>TOTAL (%)</t>
  </si>
  <si>
    <t>NBPDCL (46%)</t>
  </si>
  <si>
    <t>SBPDCL (54%)</t>
  </si>
  <si>
    <t>TOTAL (MWH)</t>
  </si>
  <si>
    <t>NBPDCL (46%) MWH</t>
  </si>
  <si>
    <t>NBPDCL (54%) MWH</t>
  </si>
  <si>
    <t>RANGIT</t>
  </si>
  <si>
    <t>TEESTA</t>
  </si>
  <si>
    <t>Normative AUX as per CERC Tariff Order 2024-29(%)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</si>
</sst>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0">
    <xf numFmtId="0" fontId="0" fillId="0" borderId="0" xfId="0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 wrapText="1"/>
    </xf>
    <xf numFmtId="4" fontId="0" fillId="0" borderId="10" xfId="0" applyNumberFormat="1" applyBorder="1" applyAlignment="1">
      <alignment horizontal="right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6" fillId="0" borderId="2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 wrapText="1"/>
    </xf>
    <xf numFmtId="0" fontId="21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21" xfId="0" applyFont="1" applyBorder="1"/>
    <xf numFmtId="0" fontId="22" fillId="0" borderId="15" xfId="0" applyFont="1" applyBorder="1" applyAlignment="1">
      <alignment horizontal="center" wrapText="1"/>
    </xf>
    <xf numFmtId="0" fontId="22" fillId="0" borderId="16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2" fillId="0" borderId="15" xfId="0" applyFont="1" applyBorder="1" applyAlignment="1">
      <alignment wrapText="1"/>
    </xf>
    <xf numFmtId="0" fontId="22" fillId="0" borderId="16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19" xfId="0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1" fillId="0" borderId="22" xfId="0" applyFont="1" applyBorder="1" applyAlignment="1">
      <alignment wrapText="1"/>
    </xf>
    <xf numFmtId="0" fontId="22" fillId="0" borderId="10" xfId="0" applyFont="1" applyBorder="1" applyAlignment="1">
      <alignment horizontal="center" vertical="center" wrapText="1"/>
    </xf>
    <xf numFmtId="0" fontId="21" fillId="0" borderId="19" xfId="0" applyFont="1" applyBorder="1"/>
    <xf numFmtId="0" fontId="22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right" wrapText="1"/>
    </xf>
    <xf numFmtId="0" fontId="23" fillId="0" borderId="10" xfId="0" applyFont="1" applyBorder="1" applyAlignment="1">
      <alignment horizontal="left" wrapText="1"/>
    </xf>
    <xf numFmtId="0" fontId="21" fillId="0" borderId="11" xfId="0" applyFont="1" applyBorder="1" applyAlignment="1">
      <alignment horizontal="right" wrapText="1"/>
    </xf>
    <xf numFmtId="0" fontId="21" fillId="0" borderId="23" xfId="0" applyFont="1" applyBorder="1" applyAlignment="1">
      <alignment horizontal="right" wrapText="1"/>
    </xf>
    <xf numFmtId="0" fontId="21" fillId="0" borderId="12" xfId="0" applyFont="1" applyBorder="1" applyAlignment="1">
      <alignment horizontal="right" wrapText="1"/>
    </xf>
    <xf numFmtId="0" fontId="21" fillId="0" borderId="22" xfId="0" applyFont="1" applyBorder="1"/>
    <xf numFmtId="0" fontId="21" fillId="0" borderId="25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1348740</xdr:colOff>
          <xdr:row>5</xdr:row>
          <xdr:rowOff>45720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754380</xdr:colOff>
          <xdr:row>9</xdr:row>
          <xdr:rowOff>121920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53"/>
  <sheetViews>
    <sheetView showGridLines="0" tabSelected="1" topLeftCell="A10" zoomScaleNormal="100" workbookViewId="0">
      <selection activeCell="P19" sqref="P19"/>
    </sheetView>
  </sheetViews>
  <sheetFormatPr defaultRowHeight="14.4" x14ac:dyDescent="0.3"/>
  <cols>
    <col min="1" max="1" width="38.109375" customWidth="1"/>
    <col min="2" max="2" width="45.21875" customWidth="1"/>
    <col min="3" max="4" width="17" customWidth="1"/>
    <col min="5" max="5" width="17.44140625" customWidth="1"/>
    <col min="6" max="6" width="15.21875" customWidth="1"/>
    <col min="7" max="7" width="16.5546875" customWidth="1"/>
    <col min="8" max="8" width="15.5546875" customWidth="1"/>
    <col min="9" max="9" width="16.5546875" customWidth="1"/>
    <col min="10" max="10" width="16.109375" customWidth="1"/>
    <col min="11" max="11" width="15.77734375" customWidth="1"/>
    <col min="12" max="12" width="14.5546875" customWidth="1"/>
    <col min="13" max="13" width="14.88671875" customWidth="1"/>
    <col min="14" max="14" width="17.44140625" customWidth="1"/>
  </cols>
  <sheetData>
    <row r="1" spans="1:14" x14ac:dyDescent="0.3">
      <c r="A1" s="1" t="s">
        <v>0</v>
      </c>
    </row>
    <row r="3" spans="1:14" x14ac:dyDescent="0.3">
      <c r="A3" s="2" t="s">
        <v>1</v>
      </c>
    </row>
    <row r="10" spans="1:14" x14ac:dyDescent="0.3">
      <c r="A10" t="s">
        <v>2</v>
      </c>
    </row>
    <row r="11" spans="1:14" ht="18" x14ac:dyDescent="0.3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5.6" customHeight="1" x14ac:dyDescent="0.35">
      <c r="A12" s="27" t="s">
        <v>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8" x14ac:dyDescent="0.3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8" x14ac:dyDescent="0.35">
      <c r="A14" s="27" t="s">
        <v>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8" x14ac:dyDescent="0.3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24.6" customHeight="1" x14ac:dyDescent="0.3">
      <c r="A16" s="29" t="s">
        <v>5</v>
      </c>
      <c r="B16" s="29" t="s">
        <v>6</v>
      </c>
      <c r="C16" s="30" t="s">
        <v>7</v>
      </c>
      <c r="D16" s="31"/>
      <c r="E16" s="30" t="s">
        <v>8</v>
      </c>
      <c r="F16" s="31"/>
      <c r="G16" s="30" t="s">
        <v>9</v>
      </c>
      <c r="H16" s="31"/>
      <c r="I16" s="30" t="s">
        <v>10</v>
      </c>
      <c r="J16" s="31"/>
      <c r="K16" s="30" t="s">
        <v>11</v>
      </c>
      <c r="L16" s="31"/>
      <c r="M16" s="30" t="s">
        <v>12</v>
      </c>
      <c r="N16" s="31"/>
    </row>
    <row r="17" spans="1:14" ht="22.2" customHeight="1" x14ac:dyDescent="0.35">
      <c r="A17" s="32"/>
      <c r="B17" s="32"/>
      <c r="C17" s="33" t="s">
        <v>13</v>
      </c>
      <c r="D17" s="33" t="s">
        <v>14</v>
      </c>
      <c r="E17" s="33" t="s">
        <v>13</v>
      </c>
      <c r="F17" s="33" t="s">
        <v>14</v>
      </c>
      <c r="G17" s="33" t="s">
        <v>13</v>
      </c>
      <c r="H17" s="33" t="s">
        <v>14</v>
      </c>
      <c r="I17" s="33" t="s">
        <v>13</v>
      </c>
      <c r="J17" s="33" t="s">
        <v>14</v>
      </c>
      <c r="K17" s="33" t="s">
        <v>13</v>
      </c>
      <c r="L17" s="33" t="s">
        <v>14</v>
      </c>
      <c r="M17" s="33" t="s">
        <v>13</v>
      </c>
      <c r="N17" s="33" t="s">
        <v>14</v>
      </c>
    </row>
    <row r="18" spans="1:14" ht="46.8" customHeight="1" x14ac:dyDescent="0.35">
      <c r="A18" s="34">
        <v>1</v>
      </c>
      <c r="B18" s="34" t="s">
        <v>15</v>
      </c>
      <c r="C18" s="35">
        <v>1320</v>
      </c>
      <c r="D18" s="36"/>
      <c r="E18" s="35">
        <v>1600</v>
      </c>
      <c r="F18" s="36"/>
      <c r="G18" s="35">
        <v>500</v>
      </c>
      <c r="H18" s="36"/>
      <c r="I18" s="35">
        <v>840</v>
      </c>
      <c r="J18" s="36"/>
      <c r="K18" s="35">
        <v>1500</v>
      </c>
      <c r="L18" s="36"/>
      <c r="M18" s="35">
        <v>1000</v>
      </c>
      <c r="N18" s="36"/>
    </row>
    <row r="19" spans="1:14" ht="46.8" customHeight="1" x14ac:dyDescent="0.35">
      <c r="A19" s="34">
        <v>2</v>
      </c>
      <c r="B19" s="34" t="s">
        <v>147</v>
      </c>
      <c r="C19" s="35">
        <v>6.25</v>
      </c>
      <c r="D19" s="36"/>
      <c r="E19" s="35">
        <v>6.46875</v>
      </c>
      <c r="F19" s="36"/>
      <c r="G19" s="35">
        <v>5.75</v>
      </c>
      <c r="H19" s="36"/>
      <c r="I19" s="35">
        <v>9</v>
      </c>
      <c r="J19" s="36"/>
      <c r="K19" s="35">
        <v>5.75</v>
      </c>
      <c r="L19" s="36"/>
      <c r="M19" s="35">
        <v>6.55</v>
      </c>
      <c r="N19" s="36"/>
    </row>
    <row r="20" spans="1:14" ht="46.8" customHeight="1" x14ac:dyDescent="0.35">
      <c r="A20" s="34">
        <v>3</v>
      </c>
      <c r="B20" s="34" t="s">
        <v>16</v>
      </c>
      <c r="C20" s="35">
        <v>1237.5</v>
      </c>
      <c r="D20" s="36"/>
      <c r="E20" s="35">
        <v>1496.5</v>
      </c>
      <c r="F20" s="36"/>
      <c r="G20" s="35">
        <v>471.25</v>
      </c>
      <c r="H20" s="36"/>
      <c r="I20" s="35">
        <v>764.4</v>
      </c>
      <c r="J20" s="36"/>
      <c r="K20" s="35">
        <v>1413.75</v>
      </c>
      <c r="L20" s="36"/>
      <c r="M20" s="35">
        <v>934.5</v>
      </c>
      <c r="N20" s="36"/>
    </row>
    <row r="21" spans="1:14" ht="46.8" customHeight="1" x14ac:dyDescent="0.35">
      <c r="A21" s="34">
        <v>4</v>
      </c>
      <c r="B21" s="34" t="s">
        <v>17</v>
      </c>
      <c r="C21" s="34">
        <v>1148.95</v>
      </c>
      <c r="D21" s="34">
        <v>1163.02</v>
      </c>
      <c r="E21" s="34">
        <v>1077.1400000000001</v>
      </c>
      <c r="F21" s="34">
        <v>1085.48</v>
      </c>
      <c r="G21" s="34">
        <v>460.2</v>
      </c>
      <c r="H21" s="34">
        <v>463.26</v>
      </c>
      <c r="I21" s="34">
        <v>709.63</v>
      </c>
      <c r="J21" s="34">
        <v>713.8</v>
      </c>
      <c r="K21" s="34">
        <v>1311.16</v>
      </c>
      <c r="L21" s="34">
        <v>1301.17</v>
      </c>
      <c r="M21" s="34">
        <v>888.97</v>
      </c>
      <c r="N21" s="34">
        <v>884.41</v>
      </c>
    </row>
    <row r="22" spans="1:14" ht="46.8" customHeight="1" x14ac:dyDescent="0.35">
      <c r="A22" s="34">
        <v>5</v>
      </c>
      <c r="B22" s="34" t="s">
        <v>18</v>
      </c>
      <c r="C22" s="34">
        <v>92.844999999999999</v>
      </c>
      <c r="D22" s="34">
        <v>93.981999999999999</v>
      </c>
      <c r="E22" s="34">
        <v>71.977000000000004</v>
      </c>
      <c r="F22" s="34">
        <v>72.534999999999997</v>
      </c>
      <c r="G22" s="34">
        <v>97.656000000000006</v>
      </c>
      <c r="H22" s="34">
        <v>98.305000000000007</v>
      </c>
      <c r="I22" s="34">
        <v>92.835999999999999</v>
      </c>
      <c r="J22" s="34">
        <v>93.381</v>
      </c>
      <c r="K22" s="34">
        <v>92.742999999999995</v>
      </c>
      <c r="L22" s="34">
        <v>92.037000000000006</v>
      </c>
      <c r="M22" s="34">
        <v>95.128</v>
      </c>
      <c r="N22" s="34">
        <v>94.64</v>
      </c>
    </row>
    <row r="23" spans="1:14" ht="46.8" customHeight="1" x14ac:dyDescent="0.35">
      <c r="A23" s="34">
        <v>6</v>
      </c>
      <c r="B23" s="34" t="s">
        <v>19</v>
      </c>
      <c r="C23" s="34">
        <v>91.224999999999994</v>
      </c>
      <c r="D23" s="34">
        <v>91.63</v>
      </c>
      <c r="E23" s="34">
        <v>81.165999999999997</v>
      </c>
      <c r="F23" s="34">
        <v>83.075999999999993</v>
      </c>
      <c r="G23" s="34">
        <v>100</v>
      </c>
      <c r="H23" s="34">
        <v>100</v>
      </c>
      <c r="I23" s="34">
        <v>97.811999999999998</v>
      </c>
      <c r="J23" s="34">
        <v>98.456999999999994</v>
      </c>
      <c r="K23" s="34">
        <v>99.26</v>
      </c>
      <c r="L23" s="34">
        <v>99.203999999999994</v>
      </c>
      <c r="M23" s="34">
        <v>90.457999999999998</v>
      </c>
      <c r="N23" s="34">
        <v>91.453000000000003</v>
      </c>
    </row>
    <row r="24" spans="1:14" ht="46.8" customHeight="1" x14ac:dyDescent="0.35">
      <c r="A24" s="34">
        <v>7</v>
      </c>
      <c r="B24" s="34" t="s">
        <v>20</v>
      </c>
      <c r="C24" s="34">
        <v>92.048000000000002</v>
      </c>
      <c r="D24" s="34">
        <v>92.825000000000003</v>
      </c>
      <c r="E24" s="34">
        <v>76.495999999999995</v>
      </c>
      <c r="F24" s="34">
        <v>77.718999999999994</v>
      </c>
      <c r="G24" s="34">
        <v>98.808999999999997</v>
      </c>
      <c r="H24" s="34">
        <v>99.138999999999996</v>
      </c>
      <c r="I24" s="34">
        <v>95.283000000000001</v>
      </c>
      <c r="J24" s="34">
        <v>95.876999999999995</v>
      </c>
      <c r="K24" s="34">
        <v>95.947999999999993</v>
      </c>
      <c r="L24" s="34">
        <v>95.561000000000007</v>
      </c>
      <c r="M24" s="34">
        <v>92.831000000000003</v>
      </c>
      <c r="N24" s="34">
        <v>93.072999999999993</v>
      </c>
    </row>
    <row r="25" spans="1:14" ht="46.8" customHeight="1" x14ac:dyDescent="0.35">
      <c r="A25" s="34">
        <v>8</v>
      </c>
      <c r="B25" s="34" t="s">
        <v>21</v>
      </c>
      <c r="C25" s="34">
        <v>142470.098</v>
      </c>
      <c r="D25" s="34">
        <v>702234.201</v>
      </c>
      <c r="E25" s="34">
        <v>132832.29800000001</v>
      </c>
      <c r="F25" s="34">
        <v>590944.29200000002</v>
      </c>
      <c r="G25" s="34">
        <v>56644.319000000003</v>
      </c>
      <c r="H25" s="34">
        <v>241916.76699999999</v>
      </c>
      <c r="I25" s="34">
        <v>87549.504000000001</v>
      </c>
      <c r="J25" s="34">
        <v>397175.84</v>
      </c>
      <c r="K25" s="34">
        <v>162467.06700000001</v>
      </c>
      <c r="L25" s="34">
        <v>716996.61199999996</v>
      </c>
      <c r="M25" s="34">
        <v>103266.914</v>
      </c>
      <c r="N25" s="34">
        <v>495789.95799999998</v>
      </c>
    </row>
    <row r="26" spans="1:14" ht="46.8" customHeight="1" x14ac:dyDescent="0.35">
      <c r="A26" s="34">
        <v>9</v>
      </c>
      <c r="B26" s="34" t="s">
        <v>22</v>
      </c>
      <c r="C26" s="34">
        <f>124900.432+17569.6659245</f>
        <v>142470.09792450001</v>
      </c>
      <c r="D26" s="34">
        <f>645313.481+44668.52001975</f>
        <v>689982.00101975002</v>
      </c>
      <c r="E26" s="34">
        <v>130089.71</v>
      </c>
      <c r="F26" s="34">
        <v>578667.61</v>
      </c>
      <c r="G26" s="34">
        <v>54896.864000000001</v>
      </c>
      <c r="H26" s="34">
        <v>230731.212</v>
      </c>
      <c r="I26" s="34">
        <v>86642.054000000004</v>
      </c>
      <c r="J26" s="34">
        <v>390338.27500000002</v>
      </c>
      <c r="K26" s="34">
        <v>161727.19</v>
      </c>
      <c r="L26" s="34">
        <v>705483.37</v>
      </c>
      <c r="M26" s="34">
        <f>86110.442+17135.34643725</f>
        <v>103245.78843725</v>
      </c>
      <c r="N26" s="34">
        <f>457366.348+31346.6097980002</f>
        <v>488712.95779800019</v>
      </c>
    </row>
    <row r="27" spans="1:14" ht="46.8" customHeight="1" x14ac:dyDescent="0.35">
      <c r="A27" s="34">
        <v>10</v>
      </c>
      <c r="B27" s="34" t="s">
        <v>23</v>
      </c>
      <c r="C27" s="34">
        <v>135467.83246025001</v>
      </c>
      <c r="D27" s="34">
        <v>679535.57672650006</v>
      </c>
      <c r="E27" s="34">
        <v>144529.42499999999</v>
      </c>
      <c r="F27" s="34">
        <v>668038.76099999994</v>
      </c>
      <c r="G27" s="34">
        <v>56396.794000000002</v>
      </c>
      <c r="H27" s="34">
        <v>253730.76199999999</v>
      </c>
      <c r="I27" s="34">
        <v>89290.553</v>
      </c>
      <c r="J27" s="34">
        <v>417784.5245</v>
      </c>
      <c r="K27" s="34">
        <v>167424.106</v>
      </c>
      <c r="L27" s="34">
        <v>797108.2705000001</v>
      </c>
      <c r="M27" s="34">
        <v>101366.796221</v>
      </c>
      <c r="N27" s="34">
        <v>500046.74699799996</v>
      </c>
    </row>
    <row r="28" spans="1:14" ht="46.8" customHeight="1" x14ac:dyDescent="0.35">
      <c r="A28" s="34">
        <v>11</v>
      </c>
      <c r="B28" s="34" t="s">
        <v>24</v>
      </c>
      <c r="C28" s="34">
        <f>C26+C27</f>
        <v>277937.93038475001</v>
      </c>
      <c r="D28" s="34">
        <f t="shared" ref="D28:N28" si="0">D26+D27</f>
        <v>1369517.5777462502</v>
      </c>
      <c r="E28" s="34">
        <f t="shared" si="0"/>
        <v>274619.13500000001</v>
      </c>
      <c r="F28" s="34">
        <f t="shared" si="0"/>
        <v>1246706.3709999998</v>
      </c>
      <c r="G28" s="34">
        <f t="shared" si="0"/>
        <v>111293.658</v>
      </c>
      <c r="H28" s="34">
        <f t="shared" si="0"/>
        <v>484461.97399999999</v>
      </c>
      <c r="I28" s="34">
        <f t="shared" si="0"/>
        <v>175932.60700000002</v>
      </c>
      <c r="J28" s="34">
        <f t="shared" si="0"/>
        <v>808122.79949999996</v>
      </c>
      <c r="K28" s="34">
        <f t="shared" si="0"/>
        <v>329151.29599999997</v>
      </c>
      <c r="L28" s="34">
        <f t="shared" si="0"/>
        <v>1502591.6405000002</v>
      </c>
      <c r="M28" s="34">
        <f t="shared" si="0"/>
        <v>204612.58465824998</v>
      </c>
      <c r="N28" s="34">
        <f t="shared" si="0"/>
        <v>988759.70479600015</v>
      </c>
    </row>
    <row r="29" spans="1:14" ht="46.8" customHeight="1" x14ac:dyDescent="0.35">
      <c r="A29" s="34">
        <v>12</v>
      </c>
      <c r="B29" s="34" t="s">
        <v>25</v>
      </c>
      <c r="C29" s="34">
        <v>92.844999999999999</v>
      </c>
      <c r="D29" s="34">
        <v>91.525999999999996</v>
      </c>
      <c r="E29" s="34">
        <v>71.581999999999994</v>
      </c>
      <c r="F29" s="34">
        <v>63.691000000000003</v>
      </c>
      <c r="G29" s="34">
        <v>96.936000000000007</v>
      </c>
      <c r="H29" s="34">
        <v>82.799000000000007</v>
      </c>
      <c r="I29" s="34">
        <v>92.366</v>
      </c>
      <c r="J29" s="34">
        <v>83.805000000000007</v>
      </c>
      <c r="K29" s="34">
        <v>92.677000000000007</v>
      </c>
      <c r="L29" s="34">
        <v>81.8</v>
      </c>
      <c r="M29" s="34">
        <v>89.117000000000004</v>
      </c>
      <c r="N29" s="34">
        <v>85.570999999999998</v>
      </c>
    </row>
    <row r="30" spans="1:14" ht="46.8" customHeight="1" x14ac:dyDescent="0.35">
      <c r="A30" s="34">
        <v>13</v>
      </c>
      <c r="B30" s="34" t="s">
        <v>26</v>
      </c>
      <c r="C30" s="34">
        <v>92.313000000000002</v>
      </c>
      <c r="D30" s="34">
        <v>91.588999999999999</v>
      </c>
      <c r="E30" s="34">
        <v>76.263999999999996</v>
      </c>
      <c r="F30" s="34">
        <v>69.135999999999996</v>
      </c>
      <c r="G30" s="34">
        <v>98.442999999999998</v>
      </c>
      <c r="H30" s="34">
        <v>86.582999999999998</v>
      </c>
      <c r="I30" s="34">
        <v>95.021000000000001</v>
      </c>
      <c r="J30" s="34">
        <v>88.024000000000001</v>
      </c>
      <c r="K30" s="34">
        <v>95.914000000000001</v>
      </c>
      <c r="L30" s="34">
        <v>88.441000000000003</v>
      </c>
      <c r="M30" s="34">
        <v>89.775999999999996</v>
      </c>
      <c r="N30" s="34">
        <v>87.55</v>
      </c>
    </row>
    <row r="31" spans="1:14" ht="46.8" customHeight="1" x14ac:dyDescent="0.35">
      <c r="A31" s="34">
        <v>14</v>
      </c>
      <c r="B31" s="34" t="s">
        <v>27</v>
      </c>
      <c r="C31" s="34">
        <v>256657.5</v>
      </c>
      <c r="D31" s="34">
        <v>1283287.5</v>
      </c>
      <c r="E31" s="34">
        <v>310374.09999999998</v>
      </c>
      <c r="F31" s="34">
        <v>1551870.5</v>
      </c>
      <c r="G31" s="34">
        <v>97737.25</v>
      </c>
      <c r="H31" s="34">
        <v>488686.25</v>
      </c>
      <c r="I31" s="34">
        <v>158536.56</v>
      </c>
      <c r="J31" s="34">
        <v>792682.8</v>
      </c>
      <c r="K31" s="34">
        <v>293211.75</v>
      </c>
      <c r="L31" s="34">
        <v>1466058.75</v>
      </c>
      <c r="M31" s="34">
        <v>193815.3</v>
      </c>
      <c r="N31" s="34">
        <v>969076.5</v>
      </c>
    </row>
    <row r="32" spans="1:14" ht="46.8" customHeight="1" x14ac:dyDescent="0.35">
      <c r="A32" s="34">
        <v>15</v>
      </c>
      <c r="B32" s="34" t="s">
        <v>28</v>
      </c>
      <c r="C32" s="34">
        <v>0</v>
      </c>
      <c r="D32" s="34">
        <v>-18041.432499999999</v>
      </c>
      <c r="E32" s="34">
        <v>-123.41749999999996</v>
      </c>
      <c r="F32" s="34">
        <v>-11319.577499999998</v>
      </c>
      <c r="G32" s="34">
        <v>-219.59749999999997</v>
      </c>
      <c r="H32" s="34">
        <v>-16358.04</v>
      </c>
      <c r="I32" s="34">
        <v>-445.58249999999998</v>
      </c>
      <c r="J32" s="34">
        <v>-36709.307500000003</v>
      </c>
      <c r="K32" s="34">
        <v>-116.9325</v>
      </c>
      <c r="L32" s="34">
        <v>-70929.425000000003</v>
      </c>
      <c r="M32" s="34">
        <v>0</v>
      </c>
      <c r="N32" s="34">
        <v>-17716.447499999998</v>
      </c>
    </row>
    <row r="33" spans="1:14" ht="46.8" customHeight="1" x14ac:dyDescent="0.35">
      <c r="A33" s="34">
        <v>16</v>
      </c>
      <c r="B33" s="34" t="s">
        <v>29</v>
      </c>
      <c r="C33" s="34">
        <v>192.38499999999999</v>
      </c>
      <c r="D33" s="34">
        <v>9113.8050000000003</v>
      </c>
      <c r="E33" s="34">
        <v>171.78299999999999</v>
      </c>
      <c r="F33" s="34">
        <v>6488.585</v>
      </c>
      <c r="G33" s="34">
        <v>267.45</v>
      </c>
      <c r="H33" s="34">
        <v>9724.8799999999992</v>
      </c>
      <c r="I33" s="34">
        <v>200.84</v>
      </c>
      <c r="J33" s="34">
        <v>2645.9430000000002</v>
      </c>
      <c r="K33" s="34">
        <v>93.44</v>
      </c>
      <c r="L33" s="34">
        <v>-914.05799999999999</v>
      </c>
      <c r="M33" s="34">
        <v>122.298</v>
      </c>
      <c r="N33" s="34">
        <v>3660.4830000000002</v>
      </c>
    </row>
    <row r="34" spans="1:14" ht="46.8" customHeight="1" x14ac:dyDescent="0.35">
      <c r="A34" s="34">
        <v>17</v>
      </c>
      <c r="B34" s="34" t="s">
        <v>30</v>
      </c>
      <c r="C34" s="34">
        <v>135401.84946025</v>
      </c>
      <c r="D34" s="34">
        <v>675338.48972650012</v>
      </c>
      <c r="E34" s="34">
        <v>143087.503</v>
      </c>
      <c r="F34" s="34">
        <v>683650.6</v>
      </c>
      <c r="G34" s="34">
        <v>55917.366000000002</v>
      </c>
      <c r="H34" s="34">
        <v>253255.57899999997</v>
      </c>
      <c r="I34" s="34">
        <v>89234.877999999997</v>
      </c>
      <c r="J34" s="34">
        <v>433559.24249999999</v>
      </c>
      <c r="K34" s="34">
        <v>167371.68799999999</v>
      </c>
      <c r="L34" s="34">
        <v>791868.91250000009</v>
      </c>
      <c r="M34" s="34">
        <v>101160.698221</v>
      </c>
      <c r="N34" s="34">
        <v>504931.49499799992</v>
      </c>
    </row>
    <row r="35" spans="1:14" ht="46.8" customHeight="1" x14ac:dyDescent="0.35">
      <c r="A35" s="34">
        <v>18</v>
      </c>
      <c r="B35" s="34" t="s">
        <v>31</v>
      </c>
      <c r="C35" s="34">
        <f>C26+C34-C32-C33</f>
        <v>277679.56238475</v>
      </c>
      <c r="D35" s="34">
        <f t="shared" ref="D35:N35" si="1">D26+D34-D32-D33</f>
        <v>1374248.1182462503</v>
      </c>
      <c r="E35" s="34">
        <f t="shared" si="1"/>
        <v>273128.84749999997</v>
      </c>
      <c r="F35" s="34">
        <f t="shared" si="1"/>
        <v>1267149.2024999999</v>
      </c>
      <c r="G35" s="34">
        <f t="shared" si="1"/>
        <v>110766.37750000002</v>
      </c>
      <c r="H35" s="34">
        <f t="shared" si="1"/>
        <v>490619.95099999994</v>
      </c>
      <c r="I35" s="34">
        <f t="shared" si="1"/>
        <v>176121.67449999999</v>
      </c>
      <c r="J35" s="34">
        <f t="shared" si="1"/>
        <v>857960.8820000001</v>
      </c>
      <c r="K35" s="34">
        <f t="shared" si="1"/>
        <v>329122.37050000002</v>
      </c>
      <c r="L35" s="34">
        <f t="shared" si="1"/>
        <v>1569195.7655000002</v>
      </c>
      <c r="M35" s="34">
        <f t="shared" si="1"/>
        <v>204284.18865824997</v>
      </c>
      <c r="N35" s="34">
        <f t="shared" si="1"/>
        <v>1007700.4172960001</v>
      </c>
    </row>
    <row r="36" spans="1:14" ht="46.8" customHeight="1" x14ac:dyDescent="0.35">
      <c r="A36" s="34">
        <v>19</v>
      </c>
      <c r="B36" s="34" t="s">
        <v>32</v>
      </c>
      <c r="C36" s="34">
        <f>IF((C35-C31)&gt;0,(C35-C31),0)</f>
        <v>21022.062384749996</v>
      </c>
      <c r="D36" s="34">
        <f t="shared" ref="D36:N36" si="2">IF((D35-D31)&gt;0,(D35-D31),0)</f>
        <v>90960.61824625032</v>
      </c>
      <c r="E36" s="34">
        <f t="shared" si="2"/>
        <v>0</v>
      </c>
      <c r="F36" s="34">
        <f t="shared" si="2"/>
        <v>0</v>
      </c>
      <c r="G36" s="34">
        <f t="shared" si="2"/>
        <v>13029.127500000017</v>
      </c>
      <c r="H36" s="34">
        <f t="shared" si="2"/>
        <v>1933.7009999999427</v>
      </c>
      <c r="I36" s="34">
        <f t="shared" si="2"/>
        <v>17585.114499999996</v>
      </c>
      <c r="J36" s="34">
        <f t="shared" si="2"/>
        <v>65278.082000000053</v>
      </c>
      <c r="K36" s="34">
        <f t="shared" si="2"/>
        <v>35910.620500000019</v>
      </c>
      <c r="L36" s="34">
        <f t="shared" si="2"/>
        <v>103137.01550000021</v>
      </c>
      <c r="M36" s="34">
        <f t="shared" si="2"/>
        <v>10468.888658249984</v>
      </c>
      <c r="N36" s="34">
        <f t="shared" si="2"/>
        <v>38623.917296000058</v>
      </c>
    </row>
    <row r="37" spans="1:14" ht="46.8" customHeight="1" x14ac:dyDescent="0.35">
      <c r="A37" s="34">
        <v>20</v>
      </c>
      <c r="B37" s="34" t="s">
        <v>33</v>
      </c>
      <c r="C37" s="34">
        <v>9176.8494602499995</v>
      </c>
      <c r="D37" s="34">
        <v>44213.48972650012</v>
      </c>
      <c r="E37" s="34">
        <v>0</v>
      </c>
      <c r="F37" s="34">
        <v>0</v>
      </c>
      <c r="G37" s="34">
        <v>7849.8660000000018</v>
      </c>
      <c r="H37" s="34">
        <v>12918.078999999969</v>
      </c>
      <c r="I37" s="34">
        <v>11266.077999999994</v>
      </c>
      <c r="J37" s="34">
        <v>43715.242499999993</v>
      </c>
      <c r="K37" s="34">
        <v>23169.187999999995</v>
      </c>
      <c r="L37" s="34">
        <v>70856.412500000093</v>
      </c>
      <c r="M37" s="34">
        <v>5841.6982209999987</v>
      </c>
      <c r="N37" s="34">
        <v>28336.494997999922</v>
      </c>
    </row>
    <row r="38" spans="1:14" ht="46.8" customHeight="1" x14ac:dyDescent="0.35">
      <c r="A38" s="34">
        <v>21</v>
      </c>
      <c r="B38" s="34" t="s">
        <v>34</v>
      </c>
      <c r="C38" s="34">
        <f>C36-C37</f>
        <v>11845.212924499996</v>
      </c>
      <c r="D38" s="34">
        <f t="shared" ref="D38:N38" si="3">D36-D37</f>
        <v>46747.1285197502</v>
      </c>
      <c r="E38" s="34">
        <f t="shared" si="3"/>
        <v>0</v>
      </c>
      <c r="F38" s="34">
        <f t="shared" si="3"/>
        <v>0</v>
      </c>
      <c r="G38" s="34">
        <f t="shared" si="3"/>
        <v>5179.2615000000151</v>
      </c>
      <c r="H38" s="34">
        <f t="shared" si="3"/>
        <v>-10984.378000000026</v>
      </c>
      <c r="I38" s="34">
        <f t="shared" si="3"/>
        <v>6319.036500000002</v>
      </c>
      <c r="J38" s="34">
        <f t="shared" si="3"/>
        <v>21562.83950000006</v>
      </c>
      <c r="K38" s="34">
        <f t="shared" si="3"/>
        <v>12741.432500000024</v>
      </c>
      <c r="L38" s="34">
        <f t="shared" si="3"/>
        <v>32280.603000000119</v>
      </c>
      <c r="M38" s="34">
        <f t="shared" si="3"/>
        <v>4627.1904372499848</v>
      </c>
      <c r="N38" s="34">
        <f t="shared" si="3"/>
        <v>10287.422298000136</v>
      </c>
    </row>
    <row r="39" spans="1:14" ht="18" x14ac:dyDescent="0.3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18" x14ac:dyDescent="0.3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ht="18" x14ac:dyDescent="0.3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15.6" customHeight="1" x14ac:dyDescent="0.35">
      <c r="A42" s="27" t="s">
        <v>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18" x14ac:dyDescent="0.35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ht="18" x14ac:dyDescent="0.35">
      <c r="A44" s="27" t="s">
        <v>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ht="18" x14ac:dyDescent="0.3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ht="22.2" customHeight="1" x14ac:dyDescent="0.3">
      <c r="A46" s="29" t="s">
        <v>5</v>
      </c>
      <c r="B46" s="29" t="s">
        <v>6</v>
      </c>
      <c r="C46" s="30" t="s">
        <v>35</v>
      </c>
      <c r="D46" s="31"/>
      <c r="E46" s="30" t="s">
        <v>36</v>
      </c>
      <c r="F46" s="31"/>
      <c r="G46" s="30" t="s">
        <v>37</v>
      </c>
      <c r="H46" s="31"/>
      <c r="I46" s="30" t="s">
        <v>38</v>
      </c>
      <c r="J46" s="31"/>
      <c r="K46" s="30" t="s">
        <v>39</v>
      </c>
      <c r="L46" s="31"/>
      <c r="M46" s="30" t="s">
        <v>40</v>
      </c>
      <c r="N46" s="31"/>
    </row>
    <row r="47" spans="1:14" ht="25.2" customHeight="1" x14ac:dyDescent="0.35">
      <c r="A47" s="32"/>
      <c r="B47" s="32"/>
      <c r="C47" s="33" t="s">
        <v>13</v>
      </c>
      <c r="D47" s="33" t="s">
        <v>14</v>
      </c>
      <c r="E47" s="33" t="s">
        <v>13</v>
      </c>
      <c r="F47" s="33" t="s">
        <v>14</v>
      </c>
      <c r="G47" s="33" t="s">
        <v>13</v>
      </c>
      <c r="H47" s="33" t="s">
        <v>14</v>
      </c>
      <c r="I47" s="33" t="s">
        <v>13</v>
      </c>
      <c r="J47" s="33" t="s">
        <v>14</v>
      </c>
      <c r="K47" s="33" t="s">
        <v>13</v>
      </c>
      <c r="L47" s="33" t="s">
        <v>14</v>
      </c>
      <c r="M47" s="33" t="s">
        <v>13</v>
      </c>
      <c r="N47" s="33" t="s">
        <v>14</v>
      </c>
    </row>
    <row r="48" spans="1:14" ht="46.8" customHeight="1" x14ac:dyDescent="0.35">
      <c r="A48" s="34">
        <v>1</v>
      </c>
      <c r="B48" s="34" t="s">
        <v>15</v>
      </c>
      <c r="C48" s="35">
        <v>1320</v>
      </c>
      <c r="D48" s="36"/>
      <c r="E48" s="35">
        <v>1000</v>
      </c>
      <c r="F48" s="36"/>
      <c r="G48" s="35">
        <v>390</v>
      </c>
      <c r="H48" s="36"/>
      <c r="I48" s="35">
        <v>1600</v>
      </c>
      <c r="J48" s="36"/>
      <c r="K48" s="35">
        <v>1980</v>
      </c>
      <c r="L48" s="36"/>
      <c r="M48" s="35">
        <v>1320</v>
      </c>
      <c r="N48" s="36"/>
    </row>
    <row r="49" spans="1:14" ht="46.8" customHeight="1" x14ac:dyDescent="0.35">
      <c r="A49" s="34">
        <v>2</v>
      </c>
      <c r="B49" s="34" t="s">
        <v>147</v>
      </c>
      <c r="C49" s="35">
        <v>5.75</v>
      </c>
      <c r="D49" s="36"/>
      <c r="E49" s="35">
        <v>9</v>
      </c>
      <c r="F49" s="36"/>
      <c r="G49" s="35">
        <v>9</v>
      </c>
      <c r="H49" s="36"/>
      <c r="I49" s="35">
        <v>5.75</v>
      </c>
      <c r="J49" s="36"/>
      <c r="K49" s="35">
        <v>5.75</v>
      </c>
      <c r="L49" s="36"/>
      <c r="M49" s="35">
        <v>5.75</v>
      </c>
      <c r="N49" s="36"/>
    </row>
    <row r="50" spans="1:14" ht="46.8" customHeight="1" x14ac:dyDescent="0.35">
      <c r="A50" s="34">
        <v>3</v>
      </c>
      <c r="B50" s="34" t="s">
        <v>16</v>
      </c>
      <c r="C50" s="35">
        <v>1244.0999999999999</v>
      </c>
      <c r="D50" s="36"/>
      <c r="E50" s="35">
        <v>910</v>
      </c>
      <c r="F50" s="36"/>
      <c r="G50" s="35">
        <v>354.9</v>
      </c>
      <c r="H50" s="36"/>
      <c r="I50" s="35">
        <v>1508</v>
      </c>
      <c r="J50" s="36"/>
      <c r="K50" s="35">
        <v>1866.15</v>
      </c>
      <c r="L50" s="36"/>
      <c r="M50" s="35">
        <v>1244.0999999999999</v>
      </c>
      <c r="N50" s="36"/>
    </row>
    <row r="51" spans="1:14" ht="46.8" customHeight="1" x14ac:dyDescent="0.35">
      <c r="A51" s="34">
        <v>4</v>
      </c>
      <c r="B51" s="34" t="s">
        <v>17</v>
      </c>
      <c r="C51" s="34">
        <v>1202.76</v>
      </c>
      <c r="D51" s="34">
        <v>1195.58</v>
      </c>
      <c r="E51" s="34">
        <v>902.66</v>
      </c>
      <c r="F51" s="34">
        <v>905.27</v>
      </c>
      <c r="G51" s="34">
        <v>312.72000000000003</v>
      </c>
      <c r="H51" s="34">
        <v>310.70999999999998</v>
      </c>
      <c r="I51" s="34">
        <v>728.35</v>
      </c>
      <c r="J51" s="34">
        <v>741.7</v>
      </c>
      <c r="K51" s="34">
        <v>1766.2</v>
      </c>
      <c r="L51" s="34">
        <v>1769.34</v>
      </c>
      <c r="M51" s="34">
        <v>1005.74</v>
      </c>
      <c r="N51" s="34">
        <v>1013.96</v>
      </c>
    </row>
    <row r="52" spans="1:14" ht="46.8" customHeight="1" x14ac:dyDescent="0.35">
      <c r="A52" s="34">
        <v>5</v>
      </c>
      <c r="B52" s="34" t="s">
        <v>18</v>
      </c>
      <c r="C52" s="34">
        <v>96.677000000000007</v>
      </c>
      <c r="D52" s="34">
        <v>96.1</v>
      </c>
      <c r="E52" s="34">
        <v>99.194000000000003</v>
      </c>
      <c r="F52" s="34">
        <v>99.48</v>
      </c>
      <c r="G52" s="34">
        <v>88.114000000000004</v>
      </c>
      <c r="H52" s="34">
        <v>87.549000000000007</v>
      </c>
      <c r="I52" s="34">
        <v>48.298999999999999</v>
      </c>
      <c r="J52" s="34">
        <v>49.185000000000002</v>
      </c>
      <c r="K52" s="34">
        <v>94.644000000000005</v>
      </c>
      <c r="L52" s="34">
        <v>94.811999999999998</v>
      </c>
      <c r="M52" s="34">
        <v>80.840999999999994</v>
      </c>
      <c r="N52" s="34">
        <v>81.501000000000005</v>
      </c>
    </row>
    <row r="53" spans="1:14" ht="46.8" customHeight="1" x14ac:dyDescent="0.35">
      <c r="A53" s="34">
        <v>6</v>
      </c>
      <c r="B53" s="34" t="s">
        <v>19</v>
      </c>
      <c r="C53" s="34">
        <v>84.394000000000005</v>
      </c>
      <c r="D53" s="34">
        <v>88.340999999999994</v>
      </c>
      <c r="E53" s="34">
        <v>100</v>
      </c>
      <c r="F53" s="34">
        <v>99.832999999999998</v>
      </c>
      <c r="G53" s="34">
        <v>98.332999999999998</v>
      </c>
      <c r="H53" s="34">
        <v>98.917000000000002</v>
      </c>
      <c r="I53" s="34">
        <v>91.756</v>
      </c>
      <c r="J53" s="34">
        <v>91.721000000000004</v>
      </c>
      <c r="K53" s="34">
        <v>94.706999999999994</v>
      </c>
      <c r="L53" s="34">
        <v>94.682000000000002</v>
      </c>
      <c r="M53" s="34">
        <v>81.95</v>
      </c>
      <c r="N53" s="34">
        <v>82.620999999999995</v>
      </c>
    </row>
    <row r="54" spans="1:14" ht="46.8" customHeight="1" x14ac:dyDescent="0.35">
      <c r="A54" s="34">
        <v>7</v>
      </c>
      <c r="B54" s="34" t="s">
        <v>20</v>
      </c>
      <c r="C54" s="34">
        <v>90.635999999999996</v>
      </c>
      <c r="D54" s="34">
        <v>92.284000000000006</v>
      </c>
      <c r="E54" s="34">
        <v>99.59</v>
      </c>
      <c r="F54" s="34">
        <v>99.653999999999996</v>
      </c>
      <c r="G54" s="34">
        <v>93.14</v>
      </c>
      <c r="H54" s="34">
        <v>93.14</v>
      </c>
      <c r="I54" s="34">
        <v>69.671999999999997</v>
      </c>
      <c r="J54" s="34">
        <v>70.103999999999999</v>
      </c>
      <c r="K54" s="34">
        <v>94.674999999999997</v>
      </c>
      <c r="L54" s="34">
        <v>94.748000000000005</v>
      </c>
      <c r="M54" s="34">
        <v>81.387</v>
      </c>
      <c r="N54" s="34">
        <v>82.052000000000007</v>
      </c>
    </row>
    <row r="55" spans="1:14" ht="46.8" customHeight="1" x14ac:dyDescent="0.35">
      <c r="A55" s="34">
        <v>8</v>
      </c>
      <c r="B55" s="34" t="s">
        <v>21</v>
      </c>
      <c r="C55" s="34">
        <v>147958.53899999999</v>
      </c>
      <c r="D55" s="34">
        <v>621939.16799999995</v>
      </c>
      <c r="E55" s="34">
        <v>111872.113</v>
      </c>
      <c r="F55" s="34">
        <v>508594.47499999998</v>
      </c>
      <c r="G55" s="34">
        <v>38772</v>
      </c>
      <c r="H55" s="34">
        <v>173584.07399999999</v>
      </c>
      <c r="I55" s="34">
        <v>90316.095000000001</v>
      </c>
      <c r="J55" s="34">
        <v>458465.005</v>
      </c>
      <c r="K55" s="34">
        <v>218757.79300000001</v>
      </c>
      <c r="L55" s="34">
        <v>967575.95900000003</v>
      </c>
      <c r="M55" s="34">
        <v>123232.9</v>
      </c>
      <c r="N55" s="34">
        <v>532389.59699999995</v>
      </c>
    </row>
    <row r="56" spans="1:14" ht="46.8" customHeight="1" x14ac:dyDescent="0.35">
      <c r="A56" s="34">
        <v>9</v>
      </c>
      <c r="B56" s="34" t="s">
        <v>22</v>
      </c>
      <c r="C56" s="34">
        <v>146426.10699999999</v>
      </c>
      <c r="D56" s="34">
        <v>596284.79599999997</v>
      </c>
      <c r="E56" s="34">
        <v>110889.18799999999</v>
      </c>
      <c r="F56" s="34">
        <v>499989.92499999999</v>
      </c>
      <c r="G56" s="34">
        <f>26567.375+12000</f>
        <v>38567.375</v>
      </c>
      <c r="H56" s="34">
        <f>132635.909+28016.2721895</f>
        <v>160652.18118950003</v>
      </c>
      <c r="I56" s="34">
        <v>89990.095000000001</v>
      </c>
      <c r="J56" s="34">
        <v>454422.38199999998</v>
      </c>
      <c r="K56" s="34">
        <f>176546.066+41989.4770549999</f>
        <v>218535.5430549999</v>
      </c>
      <c r="L56" s="34">
        <f>856835.617+85966.4765400002</f>
        <v>942802.09354000015</v>
      </c>
      <c r="M56" s="34">
        <f>121120.725+1600</f>
        <v>122720.72500000001</v>
      </c>
      <c r="N56" s="34">
        <f>522478.472+800</f>
        <v>523278.47200000001</v>
      </c>
    </row>
    <row r="57" spans="1:14" ht="46.8" customHeight="1" x14ac:dyDescent="0.35">
      <c r="A57" s="34">
        <v>10</v>
      </c>
      <c r="B57" s="34" t="s">
        <v>23</v>
      </c>
      <c r="C57" s="34">
        <v>112037.567</v>
      </c>
      <c r="D57" s="34">
        <v>470745.114</v>
      </c>
      <c r="E57" s="34">
        <v>108334.22900000001</v>
      </c>
      <c r="F57" s="34">
        <v>508476.95500000002</v>
      </c>
      <c r="G57" s="34">
        <v>41671.72</v>
      </c>
      <c r="H57" s="34">
        <v>198790.31650000002</v>
      </c>
      <c r="I57" s="34">
        <v>165864.55799999999</v>
      </c>
      <c r="J57" s="34">
        <v>828874.32499999995</v>
      </c>
      <c r="K57" s="34">
        <v>211438.95650300002</v>
      </c>
      <c r="L57" s="34">
        <v>988852.43192200002</v>
      </c>
      <c r="M57" s="34">
        <v>119160.68</v>
      </c>
      <c r="N57" s="34">
        <v>527876.31200000003</v>
      </c>
    </row>
    <row r="58" spans="1:14" ht="46.8" customHeight="1" x14ac:dyDescent="0.35">
      <c r="A58" s="34">
        <v>11</v>
      </c>
      <c r="B58" s="34" t="s">
        <v>24</v>
      </c>
      <c r="C58" s="34">
        <f>C56+C57</f>
        <v>258463.674</v>
      </c>
      <c r="D58" s="34">
        <f t="shared" ref="D58:N58" si="4">D56+D57</f>
        <v>1067029.9099999999</v>
      </c>
      <c r="E58" s="34">
        <f t="shared" si="4"/>
        <v>219223.41700000002</v>
      </c>
      <c r="F58" s="34">
        <f t="shared" si="4"/>
        <v>1008466.88</v>
      </c>
      <c r="G58" s="34">
        <f t="shared" si="4"/>
        <v>80239.095000000001</v>
      </c>
      <c r="H58" s="34">
        <f t="shared" si="4"/>
        <v>359442.49768950004</v>
      </c>
      <c r="I58" s="34">
        <f t="shared" si="4"/>
        <v>255854.65299999999</v>
      </c>
      <c r="J58" s="34">
        <f t="shared" si="4"/>
        <v>1283296.7069999999</v>
      </c>
      <c r="K58" s="34">
        <f t="shared" si="4"/>
        <v>429974.49955799989</v>
      </c>
      <c r="L58" s="34">
        <f t="shared" si="4"/>
        <v>1931654.5254620002</v>
      </c>
      <c r="M58" s="34">
        <f t="shared" si="4"/>
        <v>241881.405</v>
      </c>
      <c r="N58" s="34">
        <f t="shared" si="4"/>
        <v>1051154.784</v>
      </c>
    </row>
    <row r="59" spans="1:14" ht="46.8" customHeight="1" x14ac:dyDescent="0.35">
      <c r="A59" s="34">
        <v>12</v>
      </c>
      <c r="B59" s="34" t="s">
        <v>25</v>
      </c>
      <c r="C59" s="34">
        <v>95.91</v>
      </c>
      <c r="D59" s="34">
        <v>80.631</v>
      </c>
      <c r="E59" s="34">
        <v>99.141999999999996</v>
      </c>
      <c r="F59" s="34">
        <v>90.144000000000005</v>
      </c>
      <c r="G59" s="34">
        <v>88.102999999999994</v>
      </c>
      <c r="H59" s="34">
        <v>78.888000000000005</v>
      </c>
      <c r="I59" s="34">
        <v>48.298999999999999</v>
      </c>
      <c r="J59" s="34">
        <v>49.036000000000001</v>
      </c>
      <c r="K59" s="34">
        <v>94.536000000000001</v>
      </c>
      <c r="L59" s="34">
        <v>83.626999999999995</v>
      </c>
      <c r="M59" s="34">
        <v>79.882000000000005</v>
      </c>
      <c r="N59" s="34">
        <v>69.021000000000001</v>
      </c>
    </row>
    <row r="60" spans="1:14" ht="46.8" customHeight="1" x14ac:dyDescent="0.35">
      <c r="A60" s="34">
        <v>13</v>
      </c>
      <c r="B60" s="34" t="s">
        <v>26</v>
      </c>
      <c r="C60" s="34">
        <v>90.153000000000006</v>
      </c>
      <c r="D60" s="34">
        <v>76.501000000000005</v>
      </c>
      <c r="E60" s="34">
        <v>99.564999999999998</v>
      </c>
      <c r="F60" s="34">
        <v>92.019000000000005</v>
      </c>
      <c r="G60" s="34">
        <v>93.119</v>
      </c>
      <c r="H60" s="34">
        <v>86.870999999999995</v>
      </c>
      <c r="I60" s="34">
        <v>69.840999999999994</v>
      </c>
      <c r="J60" s="34">
        <v>70.055000000000007</v>
      </c>
      <c r="K60" s="34">
        <v>94.730999999999995</v>
      </c>
      <c r="L60" s="34">
        <v>86.171000000000006</v>
      </c>
      <c r="M60" s="34">
        <v>80.587999999999994</v>
      </c>
      <c r="N60" s="34">
        <v>70.486999999999995</v>
      </c>
    </row>
    <row r="61" spans="1:14" ht="46.8" customHeight="1" x14ac:dyDescent="0.35">
      <c r="A61" s="34">
        <v>14</v>
      </c>
      <c r="B61" s="34" t="s">
        <v>27</v>
      </c>
      <c r="C61" s="34">
        <v>258026.34</v>
      </c>
      <c r="D61" s="34">
        <v>1290131.7</v>
      </c>
      <c r="E61" s="34">
        <v>188734</v>
      </c>
      <c r="F61" s="34">
        <v>943670</v>
      </c>
      <c r="G61" s="34">
        <v>73606.259999999995</v>
      </c>
      <c r="H61" s="34">
        <v>368031.3</v>
      </c>
      <c r="I61" s="34">
        <v>312759.2</v>
      </c>
      <c r="J61" s="34">
        <v>1563796</v>
      </c>
      <c r="K61" s="34">
        <v>387039.51</v>
      </c>
      <c r="L61" s="34">
        <v>1935197.55</v>
      </c>
      <c r="M61" s="34">
        <v>258026.34</v>
      </c>
      <c r="N61" s="34">
        <v>1290131.7</v>
      </c>
    </row>
    <row r="62" spans="1:14" ht="46.8" customHeight="1" x14ac:dyDescent="0.35">
      <c r="A62" s="34">
        <v>15</v>
      </c>
      <c r="B62" s="34" t="s">
        <v>28</v>
      </c>
      <c r="C62" s="34">
        <v>-1180.1475</v>
      </c>
      <c r="D62" s="34">
        <v>-43564.375</v>
      </c>
      <c r="E62" s="34">
        <v>-55.85</v>
      </c>
      <c r="F62" s="34">
        <v>-46172.060000000005</v>
      </c>
      <c r="G62" s="34">
        <v>-4.8250000000000002</v>
      </c>
      <c r="H62" s="34">
        <v>-16905.782500000001</v>
      </c>
      <c r="I62" s="34">
        <v>0</v>
      </c>
      <c r="J62" s="34">
        <v>-1368.7650000000001</v>
      </c>
      <c r="K62" s="34">
        <v>-250.76499999999999</v>
      </c>
      <c r="L62" s="34">
        <v>-77547.607499999998</v>
      </c>
      <c r="M62" s="34">
        <v>-1479.1925000000001</v>
      </c>
      <c r="N62" s="34">
        <v>-50240.389999999992</v>
      </c>
    </row>
    <row r="63" spans="1:14" ht="46.8" customHeight="1" x14ac:dyDescent="0.35">
      <c r="A63" s="34">
        <v>16</v>
      </c>
      <c r="B63" s="34" t="s">
        <v>29</v>
      </c>
      <c r="C63" s="34">
        <v>2068.3000000000002</v>
      </c>
      <c r="D63" s="34">
        <v>42390.502999999997</v>
      </c>
      <c r="E63" s="34">
        <v>343.09800000000001</v>
      </c>
      <c r="F63" s="34">
        <v>-2276.038</v>
      </c>
      <c r="G63" s="34">
        <v>48.09</v>
      </c>
      <c r="H63" s="34">
        <v>6268.28</v>
      </c>
      <c r="I63" s="34">
        <v>6.4279999999999999</v>
      </c>
      <c r="J63" s="34">
        <v>1561.55</v>
      </c>
      <c r="K63" s="34">
        <v>68.942999999999998</v>
      </c>
      <c r="L63" s="34">
        <v>23199.71</v>
      </c>
      <c r="M63" s="34">
        <v>1276.778</v>
      </c>
      <c r="N63" s="34">
        <v>29149.599999999999</v>
      </c>
    </row>
    <row r="64" spans="1:14" ht="46.8" customHeight="1" x14ac:dyDescent="0.35">
      <c r="A64" s="34">
        <v>17</v>
      </c>
      <c r="B64" s="34" t="s">
        <v>30</v>
      </c>
      <c r="C64" s="34">
        <v>109986.747</v>
      </c>
      <c r="D64" s="34">
        <v>401758.14199999999</v>
      </c>
      <c r="E64" s="34">
        <v>108318.96400000001</v>
      </c>
      <c r="F64" s="34">
        <v>535801.89300000004</v>
      </c>
      <c r="G64" s="34">
        <v>41680.325000000004</v>
      </c>
      <c r="H64" s="34">
        <v>200726.61350000001</v>
      </c>
      <c r="I64" s="34">
        <v>165754.42799999999</v>
      </c>
      <c r="J64" s="34">
        <v>827720.62600000005</v>
      </c>
      <c r="K64" s="34">
        <v>210564.11150300002</v>
      </c>
      <c r="L64" s="34">
        <v>957312.639922</v>
      </c>
      <c r="M64" s="34">
        <v>119320.855</v>
      </c>
      <c r="N64" s="34">
        <v>513914.37900000002</v>
      </c>
    </row>
    <row r="65" spans="1:14" ht="46.8" customHeight="1" x14ac:dyDescent="0.35">
      <c r="A65" s="34">
        <v>18</v>
      </c>
      <c r="B65" s="34" t="s">
        <v>31</v>
      </c>
      <c r="C65" s="34">
        <f>C56+C64-C62-C63</f>
        <v>255524.7015</v>
      </c>
      <c r="D65" s="34">
        <f t="shared" ref="D65:N65" si="5">D56+D64-D62-D63</f>
        <v>999216.80999999994</v>
      </c>
      <c r="E65" s="34">
        <f t="shared" si="5"/>
        <v>218920.90400000001</v>
      </c>
      <c r="F65" s="34">
        <f t="shared" si="5"/>
        <v>1084239.916</v>
      </c>
      <c r="G65" s="34">
        <f t="shared" si="5"/>
        <v>80204.435000000012</v>
      </c>
      <c r="H65" s="34">
        <f t="shared" si="5"/>
        <v>372016.29718949995</v>
      </c>
      <c r="I65" s="34">
        <f t="shared" si="5"/>
        <v>255738.09499999997</v>
      </c>
      <c r="J65" s="34">
        <f t="shared" si="5"/>
        <v>1281950.2229999998</v>
      </c>
      <c r="K65" s="34">
        <f t="shared" si="5"/>
        <v>429281.47655799991</v>
      </c>
      <c r="L65" s="34">
        <f t="shared" si="5"/>
        <v>1954462.6309620002</v>
      </c>
      <c r="M65" s="34">
        <f t="shared" si="5"/>
        <v>242243.99450000003</v>
      </c>
      <c r="N65" s="34">
        <f t="shared" si="5"/>
        <v>1058283.6409999998</v>
      </c>
    </row>
    <row r="66" spans="1:14" ht="46.8" customHeight="1" x14ac:dyDescent="0.35">
      <c r="A66" s="34">
        <v>19</v>
      </c>
      <c r="B66" s="34" t="s">
        <v>32</v>
      </c>
      <c r="C66" s="34">
        <f>IF((C65-C61)&gt;0,(C65-C61),0)</f>
        <v>0</v>
      </c>
      <c r="D66" s="34">
        <f t="shared" ref="D66:N66" si="6">IF((D65-D61)&gt;0,(D65-D61),0)</f>
        <v>0</v>
      </c>
      <c r="E66" s="34">
        <f t="shared" si="6"/>
        <v>30186.90400000001</v>
      </c>
      <c r="F66" s="34">
        <f t="shared" si="6"/>
        <v>140569.91599999997</v>
      </c>
      <c r="G66" s="34">
        <f t="shared" si="6"/>
        <v>6598.1750000000175</v>
      </c>
      <c r="H66" s="34">
        <f t="shared" si="6"/>
        <v>3984.9971894999617</v>
      </c>
      <c r="I66" s="34">
        <f t="shared" si="6"/>
        <v>0</v>
      </c>
      <c r="J66" s="34">
        <f t="shared" si="6"/>
        <v>0</v>
      </c>
      <c r="K66" s="34">
        <f t="shared" si="6"/>
        <v>42241.966557999898</v>
      </c>
      <c r="L66" s="34">
        <f t="shared" si="6"/>
        <v>19265.080962000182</v>
      </c>
      <c r="M66" s="34">
        <f t="shared" si="6"/>
        <v>0</v>
      </c>
      <c r="N66" s="34">
        <f t="shared" si="6"/>
        <v>0</v>
      </c>
    </row>
    <row r="67" spans="1:14" ht="46.8" customHeight="1" x14ac:dyDescent="0.35">
      <c r="A67" s="34">
        <v>20</v>
      </c>
      <c r="B67" s="34" t="s">
        <v>33</v>
      </c>
      <c r="C67" s="34">
        <v>0</v>
      </c>
      <c r="D67" s="34">
        <v>0</v>
      </c>
      <c r="E67" s="34">
        <v>15498.964000000007</v>
      </c>
      <c r="F67" s="34">
        <v>71701.89300000004</v>
      </c>
      <c r="G67" s="34">
        <v>5480.5250000000015</v>
      </c>
      <c r="H67" s="34">
        <v>19727.613500000007</v>
      </c>
      <c r="I67" s="34">
        <v>11938.427999999985</v>
      </c>
      <c r="J67" s="34">
        <v>58640.626000000047</v>
      </c>
      <c r="K67" s="34">
        <v>20216.811503000034</v>
      </c>
      <c r="L67" s="34">
        <v>5576.1399220000021</v>
      </c>
      <c r="M67" s="34">
        <v>0</v>
      </c>
      <c r="N67" s="34">
        <v>0</v>
      </c>
    </row>
    <row r="68" spans="1:14" ht="46.8" customHeight="1" x14ac:dyDescent="0.35">
      <c r="A68" s="34">
        <v>21</v>
      </c>
      <c r="B68" s="34" t="s">
        <v>34</v>
      </c>
      <c r="C68" s="34">
        <f>C66-C67</f>
        <v>0</v>
      </c>
      <c r="D68" s="34">
        <f t="shared" ref="D68:N68" si="7">D66-D67</f>
        <v>0</v>
      </c>
      <c r="E68" s="34">
        <f t="shared" si="7"/>
        <v>14687.940000000002</v>
      </c>
      <c r="F68" s="34">
        <f t="shared" si="7"/>
        <v>68868.022999999928</v>
      </c>
      <c r="G68" s="34">
        <f t="shared" si="7"/>
        <v>1117.650000000016</v>
      </c>
      <c r="H68" s="34">
        <f t="shared" si="7"/>
        <v>-15742.616310500045</v>
      </c>
      <c r="I68" s="34">
        <f t="shared" si="7"/>
        <v>-11938.427999999985</v>
      </c>
      <c r="J68" s="34">
        <f t="shared" si="7"/>
        <v>-58640.626000000047</v>
      </c>
      <c r="K68" s="34">
        <f t="shared" si="7"/>
        <v>22025.155054999865</v>
      </c>
      <c r="L68" s="34">
        <f t="shared" si="7"/>
        <v>13688.94104000018</v>
      </c>
      <c r="M68" s="34">
        <f t="shared" si="7"/>
        <v>0</v>
      </c>
      <c r="N68" s="34">
        <f t="shared" si="7"/>
        <v>0</v>
      </c>
    </row>
    <row r="69" spans="1:14" ht="18" x14ac:dyDescent="0.35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ht="15.6" customHeight="1" x14ac:dyDescent="0.35">
      <c r="A70" s="38" t="s">
        <v>3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40"/>
      <c r="M70" s="26"/>
      <c r="N70" s="26"/>
    </row>
    <row r="71" spans="1:14" ht="18" x14ac:dyDescent="0.35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3"/>
      <c r="M71" s="26"/>
      <c r="N71" s="26"/>
    </row>
    <row r="72" spans="1:14" ht="18" x14ac:dyDescent="0.35">
      <c r="A72" s="44" t="s">
        <v>41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45"/>
      <c r="M72" s="26"/>
      <c r="N72" s="26"/>
    </row>
    <row r="73" spans="1:14" ht="18" x14ac:dyDescent="0.35">
      <c r="A73" s="46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8"/>
      <c r="M73" s="26"/>
      <c r="N73" s="26"/>
    </row>
    <row r="74" spans="1:14" ht="14.4" customHeight="1" x14ac:dyDescent="0.35">
      <c r="A74" s="49" t="s">
        <v>42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1"/>
      <c r="M74" s="26"/>
      <c r="N74" s="26"/>
    </row>
    <row r="75" spans="1:14" ht="14.4" customHeight="1" x14ac:dyDescent="0.35">
      <c r="A75" s="52" t="s">
        <v>43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4"/>
      <c r="M75" s="26"/>
      <c r="N75" s="26"/>
    </row>
    <row r="76" spans="1:14" ht="34.200000000000003" customHeight="1" x14ac:dyDescent="0.35">
      <c r="A76" s="55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7"/>
      <c r="M76" s="26"/>
      <c r="N76" s="26"/>
    </row>
    <row r="77" spans="1:14" ht="99.6" customHeight="1" x14ac:dyDescent="0.35">
      <c r="A77" s="58" t="s">
        <v>44</v>
      </c>
      <c r="B77" s="58" t="s">
        <v>45</v>
      </c>
      <c r="C77" s="58" t="s">
        <v>46</v>
      </c>
      <c r="D77" s="58" t="s">
        <v>47</v>
      </c>
      <c r="E77" s="58" t="s">
        <v>48</v>
      </c>
      <c r="F77" s="58" t="s">
        <v>49</v>
      </c>
      <c r="G77" s="58" t="s">
        <v>50</v>
      </c>
      <c r="H77" s="58" t="s">
        <v>51</v>
      </c>
      <c r="I77" s="58" t="s">
        <v>52</v>
      </c>
      <c r="J77" s="58" t="s">
        <v>53</v>
      </c>
      <c r="K77" s="58" t="s">
        <v>54</v>
      </c>
      <c r="L77" s="59"/>
      <c r="M77" s="26"/>
      <c r="N77" s="26"/>
    </row>
    <row r="78" spans="1:14" ht="24.6" customHeight="1" x14ac:dyDescent="0.35">
      <c r="A78" s="58"/>
      <c r="B78" s="58" t="s">
        <v>55</v>
      </c>
      <c r="C78" s="58" t="s">
        <v>56</v>
      </c>
      <c r="D78" s="58" t="s">
        <v>56</v>
      </c>
      <c r="E78" s="58" t="s">
        <v>56</v>
      </c>
      <c r="F78" s="58" t="s">
        <v>56</v>
      </c>
      <c r="G78" s="58" t="s">
        <v>56</v>
      </c>
      <c r="H78" s="58" t="s">
        <v>56</v>
      </c>
      <c r="I78" s="58" t="s">
        <v>56</v>
      </c>
      <c r="J78" s="58" t="s">
        <v>56</v>
      </c>
      <c r="K78" s="58" t="s">
        <v>56</v>
      </c>
      <c r="L78" s="59"/>
      <c r="M78" s="26"/>
      <c r="N78" s="26"/>
    </row>
    <row r="79" spans="1:14" ht="24.6" customHeight="1" x14ac:dyDescent="0.35">
      <c r="A79" s="60" t="s">
        <v>57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59"/>
      <c r="M79" s="26"/>
      <c r="N79" s="26"/>
    </row>
    <row r="80" spans="1:14" ht="24.6" customHeight="1" x14ac:dyDescent="0.35">
      <c r="A80" s="61" t="s">
        <v>58</v>
      </c>
      <c r="B80" s="62">
        <v>5.8578299999999999</v>
      </c>
      <c r="C80" s="63">
        <v>4665.1054080000004</v>
      </c>
      <c r="D80" s="63">
        <v>23339.254035000002</v>
      </c>
      <c r="E80" s="63">
        <v>28004.359443000001</v>
      </c>
      <c r="F80" s="63">
        <v>4656.2028270000001</v>
      </c>
      <c r="G80" s="63">
        <v>22029.386706000001</v>
      </c>
      <c r="H80" s="63">
        <v>26685.589533999999</v>
      </c>
      <c r="I80" s="63">
        <v>60834.713382000002</v>
      </c>
      <c r="J80" s="63">
        <v>57408.741414999997</v>
      </c>
      <c r="K80" s="63">
        <v>0</v>
      </c>
      <c r="L80" s="59"/>
      <c r="M80" s="26"/>
      <c r="N80" s="26"/>
    </row>
    <row r="81" spans="1:14" ht="24.6" customHeight="1" x14ac:dyDescent="0.35">
      <c r="A81" s="61" t="s">
        <v>59</v>
      </c>
      <c r="B81" s="62">
        <v>0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59"/>
      <c r="M81" s="26"/>
      <c r="N81" s="26"/>
    </row>
    <row r="82" spans="1:14" ht="24.6" customHeight="1" x14ac:dyDescent="0.35">
      <c r="A82" s="61" t="s">
        <v>60</v>
      </c>
      <c r="B82" s="62">
        <v>2.13896</v>
      </c>
      <c r="C82" s="63">
        <v>1882.5443359999999</v>
      </c>
      <c r="D82" s="63">
        <v>9466.5332030000009</v>
      </c>
      <c r="E82" s="63">
        <v>11349.077539</v>
      </c>
      <c r="F82" s="63">
        <v>1882.1783379999999</v>
      </c>
      <c r="G82" s="63">
        <v>9286.5773719999997</v>
      </c>
      <c r="H82" s="63">
        <v>11168.755709999999</v>
      </c>
      <c r="I82" s="63">
        <v>23165.917670999999</v>
      </c>
      <c r="J82" s="63">
        <v>23156.463497999997</v>
      </c>
      <c r="K82" s="63">
        <v>0</v>
      </c>
      <c r="L82" s="59"/>
      <c r="M82" s="26"/>
      <c r="N82" s="26"/>
    </row>
    <row r="83" spans="1:14" ht="24.6" customHeight="1" x14ac:dyDescent="0.35">
      <c r="A83" s="61" t="s">
        <v>61</v>
      </c>
      <c r="B83" s="62">
        <v>1.454922</v>
      </c>
      <c r="C83" s="63">
        <v>1277.259061</v>
      </c>
      <c r="D83" s="63">
        <v>6435.8301739999997</v>
      </c>
      <c r="E83" s="63">
        <v>7713.0892350000004</v>
      </c>
      <c r="F83" s="63">
        <v>1256.731622</v>
      </c>
      <c r="G83" s="63">
        <v>5877.7438160000002</v>
      </c>
      <c r="H83" s="63">
        <v>7134.4754370000001</v>
      </c>
      <c r="I83" s="63">
        <v>13667.738333000001</v>
      </c>
      <c r="J83" s="63">
        <v>12669.085659</v>
      </c>
      <c r="K83" s="63">
        <v>0</v>
      </c>
      <c r="L83" s="59"/>
      <c r="M83" s="26"/>
      <c r="N83" s="26"/>
    </row>
    <row r="84" spans="1:14" ht="24.6" customHeight="1" x14ac:dyDescent="0.35">
      <c r="A84" s="61" t="s">
        <v>62</v>
      </c>
      <c r="B84" s="62">
        <v>0.119048</v>
      </c>
      <c r="C84" s="63">
        <v>104.755966</v>
      </c>
      <c r="D84" s="63">
        <v>526.85739799999999</v>
      </c>
      <c r="E84" s="63">
        <v>631.61336400000005</v>
      </c>
      <c r="F84" s="63">
        <v>104.73545799999999</v>
      </c>
      <c r="G84" s="63">
        <v>526.83957099999998</v>
      </c>
      <c r="H84" s="63">
        <v>631.57502799999997</v>
      </c>
      <c r="I84" s="63">
        <v>1276.000538</v>
      </c>
      <c r="J84" s="63">
        <v>1275.9248269999998</v>
      </c>
      <c r="K84" s="63">
        <v>0</v>
      </c>
      <c r="L84" s="59"/>
      <c r="M84" s="26"/>
      <c r="N84" s="26"/>
    </row>
    <row r="85" spans="1:14" ht="24.6" customHeight="1" x14ac:dyDescent="0.35">
      <c r="A85" s="61" t="s">
        <v>63</v>
      </c>
      <c r="B85" s="62">
        <v>2.1441999999999999E-2</v>
      </c>
      <c r="C85" s="63">
        <v>18.876073999999999</v>
      </c>
      <c r="D85" s="63">
        <v>94.900824</v>
      </c>
      <c r="E85" s="63">
        <v>113.776899</v>
      </c>
      <c r="F85" s="63">
        <v>18.872436</v>
      </c>
      <c r="G85" s="63">
        <v>140.63855599999999</v>
      </c>
      <c r="H85" s="63">
        <v>159.51099300000001</v>
      </c>
      <c r="I85" s="63">
        <v>235.295174</v>
      </c>
      <c r="J85" s="63">
        <v>281.02221900000001</v>
      </c>
      <c r="K85" s="63">
        <v>0</v>
      </c>
      <c r="L85" s="59"/>
      <c r="M85" s="26"/>
      <c r="N85" s="26"/>
    </row>
    <row r="86" spans="1:14" ht="24.6" customHeight="1" x14ac:dyDescent="0.35">
      <c r="A86" s="61" t="s">
        <v>64</v>
      </c>
      <c r="B86" s="62">
        <v>6.7968760000000001</v>
      </c>
      <c r="C86" s="63">
        <v>5981.1794280000004</v>
      </c>
      <c r="D86" s="63">
        <v>30080.45796</v>
      </c>
      <c r="E86" s="63">
        <v>36061.637388000003</v>
      </c>
      <c r="F86" s="63">
        <v>5650.3345520000003</v>
      </c>
      <c r="G86" s="63">
        <v>27111.373907000001</v>
      </c>
      <c r="H86" s="63">
        <v>32761.708458000001</v>
      </c>
      <c r="I86" s="63">
        <v>73037.023550999991</v>
      </c>
      <c r="J86" s="63">
        <v>68162.251787999994</v>
      </c>
      <c r="K86" s="63">
        <v>0</v>
      </c>
      <c r="L86" s="59"/>
      <c r="M86" s="26"/>
      <c r="N86" s="26"/>
    </row>
    <row r="87" spans="1:14" ht="24.6" customHeight="1" x14ac:dyDescent="0.35">
      <c r="A87" s="64" t="s">
        <v>65</v>
      </c>
      <c r="B87" s="62" t="s">
        <v>66</v>
      </c>
      <c r="C87" s="65">
        <v>471.66983099999999</v>
      </c>
      <c r="D87" s="65">
        <v>2372.206158</v>
      </c>
      <c r="E87" s="65">
        <v>2843.8759879999998</v>
      </c>
      <c r="F87" s="65">
        <v>468.055453</v>
      </c>
      <c r="G87" s="65">
        <v>2197.0856140000001</v>
      </c>
      <c r="H87" s="65">
        <v>2665.1410649999998</v>
      </c>
      <c r="I87" s="65">
        <v>5745.2636270000003</v>
      </c>
      <c r="J87" s="65">
        <v>5388.3958279999997</v>
      </c>
      <c r="K87" s="65">
        <v>0</v>
      </c>
      <c r="L87" s="59"/>
      <c r="M87" s="26"/>
      <c r="N87" s="26"/>
    </row>
    <row r="88" spans="1:14" ht="24.6" customHeight="1" x14ac:dyDescent="0.35">
      <c r="A88" s="61" t="s">
        <v>67</v>
      </c>
      <c r="B88" s="62">
        <v>9.8454E-2</v>
      </c>
      <c r="C88" s="66"/>
      <c r="D88" s="66"/>
      <c r="E88" s="66"/>
      <c r="F88" s="66"/>
      <c r="G88" s="66"/>
      <c r="H88" s="66"/>
      <c r="I88" s="66"/>
      <c r="J88" s="66"/>
      <c r="K88" s="66"/>
      <c r="L88" s="59"/>
      <c r="M88" s="26"/>
      <c r="N88" s="26"/>
    </row>
    <row r="89" spans="1:14" ht="24.6" customHeight="1" x14ac:dyDescent="0.35">
      <c r="A89" s="61" t="s">
        <v>68</v>
      </c>
      <c r="B89" s="62">
        <v>8.2438999999999998E-2</v>
      </c>
      <c r="C89" s="66"/>
      <c r="D89" s="66"/>
      <c r="E89" s="66"/>
      <c r="F89" s="66"/>
      <c r="G89" s="66"/>
      <c r="H89" s="66"/>
      <c r="I89" s="66"/>
      <c r="J89" s="66"/>
      <c r="K89" s="66"/>
      <c r="L89" s="59"/>
      <c r="M89" s="26"/>
      <c r="N89" s="26"/>
    </row>
    <row r="90" spans="1:14" ht="24.6" customHeight="1" x14ac:dyDescent="0.35">
      <c r="A90" s="61" t="s">
        <v>69</v>
      </c>
      <c r="B90" s="62">
        <v>7.8816999999999998E-2</v>
      </c>
      <c r="C90" s="66"/>
      <c r="D90" s="66"/>
      <c r="E90" s="66"/>
      <c r="F90" s="66"/>
      <c r="G90" s="66"/>
      <c r="H90" s="66"/>
      <c r="I90" s="66"/>
      <c r="J90" s="66"/>
      <c r="K90" s="66"/>
      <c r="L90" s="59"/>
      <c r="M90" s="26"/>
      <c r="N90" s="26"/>
    </row>
    <row r="91" spans="1:14" ht="24.6" customHeight="1" x14ac:dyDescent="0.35">
      <c r="A91" s="61" t="s">
        <v>70</v>
      </c>
      <c r="B91" s="62">
        <v>0.18420700000000001</v>
      </c>
      <c r="C91" s="66"/>
      <c r="D91" s="66"/>
      <c r="E91" s="66"/>
      <c r="F91" s="66"/>
      <c r="G91" s="66"/>
      <c r="H91" s="66"/>
      <c r="I91" s="66"/>
      <c r="J91" s="66"/>
      <c r="K91" s="66"/>
      <c r="L91" s="59"/>
      <c r="M91" s="26"/>
      <c r="N91" s="26"/>
    </row>
    <row r="92" spans="1:14" ht="24.6" customHeight="1" x14ac:dyDescent="0.35">
      <c r="A92" s="61" t="s">
        <v>71</v>
      </c>
      <c r="B92" s="62">
        <v>9.2104000000000005E-2</v>
      </c>
      <c r="C92" s="67"/>
      <c r="D92" s="67"/>
      <c r="E92" s="67"/>
      <c r="F92" s="67"/>
      <c r="G92" s="67"/>
      <c r="H92" s="67"/>
      <c r="I92" s="67"/>
      <c r="J92" s="67"/>
      <c r="K92" s="67"/>
      <c r="L92" s="59"/>
      <c r="M92" s="26"/>
      <c r="N92" s="26"/>
    </row>
    <row r="93" spans="1:14" ht="24.6" customHeight="1" x14ac:dyDescent="0.35">
      <c r="A93" s="64" t="s">
        <v>72</v>
      </c>
      <c r="B93" s="62" t="s">
        <v>66</v>
      </c>
      <c r="C93" s="65">
        <v>810.46022100000005</v>
      </c>
      <c r="D93" s="65">
        <v>4076.111171</v>
      </c>
      <c r="E93" s="65">
        <v>4886.5713910000004</v>
      </c>
      <c r="F93" s="65">
        <v>770.03065200000003</v>
      </c>
      <c r="G93" s="65">
        <v>3679.9700870000001</v>
      </c>
      <c r="H93" s="65">
        <v>4450.0007379999997</v>
      </c>
      <c r="I93" s="65">
        <v>9871.9704120000006</v>
      </c>
      <c r="J93" s="65">
        <v>9229.9770580000004</v>
      </c>
      <c r="K93" s="65">
        <v>0</v>
      </c>
      <c r="L93" s="59"/>
      <c r="M93" s="26"/>
      <c r="N93" s="26"/>
    </row>
    <row r="94" spans="1:14" ht="24.6" customHeight="1" x14ac:dyDescent="0.35">
      <c r="A94" s="61" t="s">
        <v>73</v>
      </c>
      <c r="B94" s="62">
        <v>0.64472300000000005</v>
      </c>
      <c r="C94" s="66"/>
      <c r="D94" s="66"/>
      <c r="E94" s="66"/>
      <c r="F94" s="66"/>
      <c r="G94" s="66"/>
      <c r="H94" s="66"/>
      <c r="I94" s="66"/>
      <c r="J94" s="66"/>
      <c r="K94" s="66"/>
      <c r="L94" s="59"/>
      <c r="M94" s="26"/>
      <c r="N94" s="26"/>
    </row>
    <row r="95" spans="1:14" ht="24.6" customHeight="1" x14ac:dyDescent="0.35">
      <c r="A95" s="61" t="s">
        <v>74</v>
      </c>
      <c r="B95" s="62">
        <v>0.27631</v>
      </c>
      <c r="C95" s="67"/>
      <c r="D95" s="67"/>
      <c r="E95" s="67"/>
      <c r="F95" s="67"/>
      <c r="G95" s="67"/>
      <c r="H95" s="67"/>
      <c r="I95" s="67"/>
      <c r="J95" s="67"/>
      <c r="K95" s="67"/>
      <c r="L95" s="59"/>
      <c r="M95" s="26"/>
      <c r="N95" s="26"/>
    </row>
    <row r="96" spans="1:14" ht="24.6" customHeight="1" x14ac:dyDescent="0.35">
      <c r="A96" s="60" t="s">
        <v>75</v>
      </c>
      <c r="B96" s="58">
        <v>17.846132000000001</v>
      </c>
      <c r="C96" s="58">
        <v>15211.85</v>
      </c>
      <c r="D96" s="58">
        <v>76392.150999999998</v>
      </c>
      <c r="E96" s="58">
        <v>91604.001000000004</v>
      </c>
      <c r="F96" s="58">
        <v>14807.141</v>
      </c>
      <c r="G96" s="58">
        <v>70849.615999999995</v>
      </c>
      <c r="H96" s="58">
        <v>85656.756999999998</v>
      </c>
      <c r="I96" s="58">
        <f>SUM(I80:I95)</f>
        <v>187833.92268799999</v>
      </c>
      <c r="J96" s="58">
        <f>SUM(J80:J95)</f>
        <v>177571.86229200001</v>
      </c>
      <c r="K96" s="58" t="s">
        <v>66</v>
      </c>
      <c r="L96" s="59"/>
      <c r="M96" s="26"/>
      <c r="N96" s="26"/>
    </row>
    <row r="97" spans="1:14" ht="24.6" customHeight="1" x14ac:dyDescent="0.35">
      <c r="A97" s="60" t="s">
        <v>76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59"/>
      <c r="M97" s="26"/>
      <c r="N97" s="26"/>
    </row>
    <row r="98" spans="1:14" ht="24.6" customHeight="1" x14ac:dyDescent="0.35">
      <c r="A98" s="61" t="s">
        <v>77</v>
      </c>
      <c r="B98" s="62">
        <v>0.7</v>
      </c>
      <c r="C98" s="63">
        <v>615.96289999999999</v>
      </c>
      <c r="D98" s="63">
        <v>3097.9105500000001</v>
      </c>
      <c r="E98" s="63">
        <v>3713.87345</v>
      </c>
      <c r="F98" s="63">
        <v>611.62230899999997</v>
      </c>
      <c r="G98" s="63">
        <v>2912.7811689999999</v>
      </c>
      <c r="H98" s="63">
        <v>3524.4034769999998</v>
      </c>
      <c r="I98" s="63">
        <v>7502.8576000000003</v>
      </c>
      <c r="J98" s="63">
        <v>7125.5086419999998</v>
      </c>
      <c r="K98" s="63">
        <v>0</v>
      </c>
      <c r="L98" s="59"/>
      <c r="M98" s="26"/>
      <c r="N98" s="26"/>
    </row>
    <row r="99" spans="1:14" ht="24.6" customHeight="1" x14ac:dyDescent="0.35">
      <c r="A99" s="61" t="s">
        <v>78</v>
      </c>
      <c r="B99" s="62">
        <v>0.68357100000000004</v>
      </c>
      <c r="C99" s="63">
        <v>601.50625100000002</v>
      </c>
      <c r="D99" s="63">
        <v>3025.2026059999998</v>
      </c>
      <c r="E99" s="63">
        <v>3626.7088570000001</v>
      </c>
      <c r="F99" s="63">
        <v>742.64672700000006</v>
      </c>
      <c r="G99" s="63">
        <v>3572.6187150000001</v>
      </c>
      <c r="H99" s="63">
        <v>4315.2654419999999</v>
      </c>
      <c r="I99" s="63">
        <v>7326.7657550000004</v>
      </c>
      <c r="J99" s="63">
        <v>8637.9372760000006</v>
      </c>
      <c r="K99" s="63">
        <v>0</v>
      </c>
      <c r="L99" s="59"/>
      <c r="M99" s="26"/>
      <c r="N99" s="26"/>
    </row>
    <row r="100" spans="1:14" ht="24.6" customHeight="1" x14ac:dyDescent="0.35">
      <c r="A100" s="60" t="s">
        <v>79</v>
      </c>
      <c r="B100" s="58">
        <v>1.3835710000000001</v>
      </c>
      <c r="C100" s="58">
        <v>1217.4690000000001</v>
      </c>
      <c r="D100" s="58">
        <v>6123.1130000000003</v>
      </c>
      <c r="E100" s="58">
        <v>7340.5820000000003</v>
      </c>
      <c r="F100" s="58">
        <v>1354.269</v>
      </c>
      <c r="G100" s="58">
        <v>6485.4</v>
      </c>
      <c r="H100" s="58">
        <v>7839.6689999999999</v>
      </c>
      <c r="I100" s="58">
        <v>14829.623</v>
      </c>
      <c r="J100" s="58">
        <v>15763.446</v>
      </c>
      <c r="K100" s="58" t="s">
        <v>66</v>
      </c>
      <c r="L100" s="59"/>
      <c r="M100" s="26"/>
      <c r="N100" s="26"/>
    </row>
    <row r="101" spans="1:14" ht="24.6" customHeight="1" x14ac:dyDescent="0.35">
      <c r="A101" s="60" t="s">
        <v>80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59"/>
      <c r="M101" s="26"/>
      <c r="N101" s="26"/>
    </row>
    <row r="102" spans="1:14" ht="24.6" customHeight="1" x14ac:dyDescent="0.35">
      <c r="A102" s="61" t="s">
        <v>81</v>
      </c>
      <c r="B102" s="62">
        <v>16.79</v>
      </c>
      <c r="C102" s="63">
        <v>14774.31013</v>
      </c>
      <c r="D102" s="63">
        <v>74305.597334999999</v>
      </c>
      <c r="E102" s="63">
        <v>89079.907464999997</v>
      </c>
      <c r="F102" s="63">
        <v>14634.823654</v>
      </c>
      <c r="G102" s="63">
        <v>70946.396815999993</v>
      </c>
      <c r="H102" s="63">
        <v>85581.220472000001</v>
      </c>
      <c r="I102" s="63">
        <v>179961.39872</v>
      </c>
      <c r="J102" s="63">
        <v>176440.17764099999</v>
      </c>
      <c r="K102" s="63">
        <v>0</v>
      </c>
      <c r="L102" s="59"/>
      <c r="M102" s="26"/>
      <c r="N102" s="26"/>
    </row>
    <row r="103" spans="1:14" ht="24.6" customHeight="1" x14ac:dyDescent="0.35">
      <c r="A103" s="60" t="s">
        <v>82</v>
      </c>
      <c r="B103" s="58">
        <v>16.79</v>
      </c>
      <c r="C103" s="58">
        <v>14774.31</v>
      </c>
      <c r="D103" s="58">
        <v>74305.596999999994</v>
      </c>
      <c r="E103" s="58">
        <v>89079.907000000007</v>
      </c>
      <c r="F103" s="58">
        <v>14634.824000000001</v>
      </c>
      <c r="G103" s="58">
        <v>70946.396999999997</v>
      </c>
      <c r="H103" s="58">
        <v>85581.22</v>
      </c>
      <c r="I103" s="58">
        <v>179961.399</v>
      </c>
      <c r="J103" s="58">
        <v>176440.17800000001</v>
      </c>
      <c r="K103" s="58" t="s">
        <v>66</v>
      </c>
      <c r="L103" s="59"/>
      <c r="M103" s="26"/>
      <c r="N103" s="26"/>
    </row>
    <row r="104" spans="1:14" ht="24.6" customHeight="1" x14ac:dyDescent="0.35">
      <c r="A104" s="60" t="s">
        <v>83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59"/>
      <c r="M104" s="26"/>
      <c r="N104" s="26"/>
    </row>
    <row r="105" spans="1:14" ht="24.6" customHeight="1" x14ac:dyDescent="0.35">
      <c r="A105" s="61" t="s">
        <v>84</v>
      </c>
      <c r="B105" s="62">
        <v>6.07</v>
      </c>
      <c r="C105" s="63">
        <v>5339.2532899999997</v>
      </c>
      <c r="D105" s="63">
        <v>26805.285055</v>
      </c>
      <c r="E105" s="63">
        <v>32144.538345000001</v>
      </c>
      <c r="F105" s="63">
        <v>5295.3160879999996</v>
      </c>
      <c r="G105" s="63">
        <v>25055.072774</v>
      </c>
      <c r="H105" s="63">
        <v>30350.388862</v>
      </c>
      <c r="I105" s="63">
        <v>64955.796260000003</v>
      </c>
      <c r="J105" s="63">
        <v>60999.024846</v>
      </c>
      <c r="K105" s="63">
        <v>0</v>
      </c>
      <c r="L105" s="59"/>
      <c r="M105" s="26"/>
      <c r="N105" s="26"/>
    </row>
    <row r="106" spans="1:14" ht="24.6" customHeight="1" x14ac:dyDescent="0.35">
      <c r="A106" s="61" t="s">
        <v>85</v>
      </c>
      <c r="B106" s="62">
        <v>3.04</v>
      </c>
      <c r="C106" s="63">
        <v>2675.0388800000001</v>
      </c>
      <c r="D106" s="63">
        <v>13453.78296</v>
      </c>
      <c r="E106" s="63">
        <v>16128.821840000001</v>
      </c>
      <c r="F106" s="63">
        <v>2674.5151700000001</v>
      </c>
      <c r="G106" s="63">
        <v>12991.325648</v>
      </c>
      <c r="H106" s="63">
        <v>15665.840816</v>
      </c>
      <c r="I106" s="63">
        <v>32583.83872</v>
      </c>
      <c r="J106" s="63">
        <v>29577.535306999998</v>
      </c>
      <c r="K106" s="63">
        <v>0</v>
      </c>
      <c r="L106" s="59"/>
      <c r="M106" s="26"/>
      <c r="N106" s="26"/>
    </row>
    <row r="107" spans="1:14" ht="24.6" customHeight="1" x14ac:dyDescent="0.35">
      <c r="A107" s="61" t="s">
        <v>86</v>
      </c>
      <c r="B107" s="62">
        <v>3.68</v>
      </c>
      <c r="C107" s="63">
        <v>3238.20496</v>
      </c>
      <c r="D107" s="63">
        <v>16286.15832</v>
      </c>
      <c r="E107" s="63">
        <v>19524.363280000001</v>
      </c>
      <c r="F107" s="63">
        <v>3204.2583159999999</v>
      </c>
      <c r="G107" s="63">
        <v>15854.529113000001</v>
      </c>
      <c r="H107" s="63">
        <v>19058.787429</v>
      </c>
      <c r="I107" s="63">
        <v>39443.594239999999</v>
      </c>
      <c r="J107" s="63">
        <v>38976.863047999999</v>
      </c>
      <c r="K107" s="63">
        <v>0</v>
      </c>
      <c r="L107" s="59"/>
      <c r="M107" s="26"/>
      <c r="N107" s="26"/>
    </row>
    <row r="108" spans="1:14" ht="24.6" customHeight="1" x14ac:dyDescent="0.35">
      <c r="A108" s="61" t="s">
        <v>87</v>
      </c>
      <c r="B108" s="62">
        <v>0</v>
      </c>
      <c r="C108" s="63">
        <v>0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59"/>
      <c r="M108" s="26"/>
      <c r="N108" s="26"/>
    </row>
    <row r="109" spans="1:14" ht="24.6" customHeight="1" x14ac:dyDescent="0.35">
      <c r="A109" s="61" t="s">
        <v>88</v>
      </c>
      <c r="B109" s="62">
        <v>3.04</v>
      </c>
      <c r="C109" s="63">
        <v>2675.0388800000001</v>
      </c>
      <c r="D109" s="63">
        <v>13453.78296</v>
      </c>
      <c r="E109" s="63">
        <v>16128.821840000001</v>
      </c>
      <c r="F109" s="63">
        <v>2677.3307829999999</v>
      </c>
      <c r="G109" s="63">
        <v>13522.029972</v>
      </c>
      <c r="H109" s="63">
        <v>16199.360755</v>
      </c>
      <c r="I109" s="63">
        <v>32583.83872</v>
      </c>
      <c r="J109" s="63">
        <v>32318.230586999998</v>
      </c>
      <c r="K109" s="63">
        <v>0</v>
      </c>
      <c r="L109" s="59"/>
      <c r="M109" s="26"/>
      <c r="N109" s="26"/>
    </row>
    <row r="110" spans="1:14" ht="24.6" customHeight="1" x14ac:dyDescent="0.35">
      <c r="A110" s="61" t="s">
        <v>89</v>
      </c>
      <c r="B110" s="62">
        <v>9.1199999999999992</v>
      </c>
      <c r="C110" s="63">
        <v>8025.1166400000002</v>
      </c>
      <c r="D110" s="63">
        <v>40361.348879999998</v>
      </c>
      <c r="E110" s="63">
        <v>48386.465519999998</v>
      </c>
      <c r="F110" s="63">
        <v>7903.0630430000001</v>
      </c>
      <c r="G110" s="63">
        <v>39653.812823</v>
      </c>
      <c r="H110" s="63">
        <v>47556.875866000002</v>
      </c>
      <c r="I110" s="63">
        <v>97751.516159999999</v>
      </c>
      <c r="J110" s="63">
        <v>88112.304669000005</v>
      </c>
      <c r="K110" s="63">
        <v>0</v>
      </c>
      <c r="L110" s="59"/>
      <c r="M110" s="26"/>
      <c r="N110" s="26"/>
    </row>
    <row r="111" spans="1:14" ht="24.6" customHeight="1" x14ac:dyDescent="0.35">
      <c r="A111" s="61" t="s">
        <v>90</v>
      </c>
      <c r="B111" s="62">
        <v>0</v>
      </c>
      <c r="C111" s="63">
        <v>0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59"/>
      <c r="M111" s="26"/>
      <c r="N111" s="26"/>
    </row>
    <row r="112" spans="1:14" ht="24.6" customHeight="1" x14ac:dyDescent="0.35">
      <c r="A112" s="60" t="s">
        <v>91</v>
      </c>
      <c r="B112" s="58">
        <v>24.95</v>
      </c>
      <c r="C112" s="58">
        <v>21952.652999999998</v>
      </c>
      <c r="D112" s="58">
        <v>110360.35799999999</v>
      </c>
      <c r="E112" s="58">
        <v>132313.011</v>
      </c>
      <c r="F112" s="58">
        <v>21754.483</v>
      </c>
      <c r="G112" s="58">
        <v>107076.77</v>
      </c>
      <c r="H112" s="58">
        <v>128831.254</v>
      </c>
      <c r="I112" s="58">
        <v>267318.58399999997</v>
      </c>
      <c r="J112" s="58">
        <v>249983.95800000001</v>
      </c>
      <c r="K112" s="58" t="s">
        <v>66</v>
      </c>
      <c r="L112" s="59"/>
      <c r="M112" s="26"/>
      <c r="N112" s="26"/>
    </row>
    <row r="113" spans="1:14" ht="24.6" customHeight="1" x14ac:dyDescent="0.35">
      <c r="A113" s="60" t="s">
        <v>92</v>
      </c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59"/>
      <c r="M113" s="26"/>
      <c r="N113" s="26"/>
    </row>
    <row r="114" spans="1:14" ht="24.6" customHeight="1" x14ac:dyDescent="0.35">
      <c r="A114" s="61" t="s">
        <v>93</v>
      </c>
      <c r="B114" s="62">
        <v>0.19214700000000001</v>
      </c>
      <c r="C114" s="63">
        <v>168.57916900000001</v>
      </c>
      <c r="D114" s="63">
        <v>850.36309400000005</v>
      </c>
      <c r="E114" s="63">
        <v>1018.942262</v>
      </c>
      <c r="F114" s="63">
        <v>168.03148100000001</v>
      </c>
      <c r="G114" s="63">
        <v>850.33432100000005</v>
      </c>
      <c r="H114" s="63">
        <v>1018.365803</v>
      </c>
      <c r="I114" s="63">
        <v>2059.0024100000001</v>
      </c>
      <c r="J114" s="63">
        <v>2058.3656259999998</v>
      </c>
      <c r="K114" s="63">
        <v>0</v>
      </c>
      <c r="L114" s="59"/>
      <c r="M114" s="26"/>
      <c r="N114" s="26"/>
    </row>
    <row r="115" spans="1:14" ht="24.6" customHeight="1" x14ac:dyDescent="0.35">
      <c r="A115" s="61" t="s">
        <v>94</v>
      </c>
      <c r="B115" s="62">
        <v>0</v>
      </c>
      <c r="C115" s="63">
        <v>0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3">
        <v>0</v>
      </c>
      <c r="L115" s="59"/>
      <c r="M115" s="26"/>
      <c r="N115" s="26"/>
    </row>
    <row r="116" spans="1:14" ht="24.6" customHeight="1" x14ac:dyDescent="0.35">
      <c r="A116" s="61" t="s">
        <v>95</v>
      </c>
      <c r="B116" s="62">
        <v>0.141905</v>
      </c>
      <c r="C116" s="63">
        <v>124.868915</v>
      </c>
      <c r="D116" s="63">
        <v>628.01303299999995</v>
      </c>
      <c r="E116" s="63">
        <v>752.88194799999997</v>
      </c>
      <c r="F116" s="63">
        <v>124.84446800000001</v>
      </c>
      <c r="G116" s="63">
        <v>627.99178400000005</v>
      </c>
      <c r="H116" s="63">
        <v>752.83625099999995</v>
      </c>
      <c r="I116" s="63">
        <v>1520.990335</v>
      </c>
      <c r="J116" s="63">
        <v>1520.9000860000001</v>
      </c>
      <c r="K116" s="63">
        <v>0</v>
      </c>
      <c r="L116" s="59"/>
      <c r="M116" s="26"/>
      <c r="N116" s="26"/>
    </row>
    <row r="117" spans="1:14" ht="24.6" customHeight="1" x14ac:dyDescent="0.35">
      <c r="A117" s="61" t="s">
        <v>96</v>
      </c>
      <c r="B117" s="62">
        <v>0.42533199999999999</v>
      </c>
      <c r="C117" s="63">
        <v>374.26956799999999</v>
      </c>
      <c r="D117" s="63">
        <v>1882.343308</v>
      </c>
      <c r="E117" s="63">
        <v>2256.6128739999999</v>
      </c>
      <c r="F117" s="63">
        <v>373.42082499999998</v>
      </c>
      <c r="G117" s="63">
        <v>1882.2796169999999</v>
      </c>
      <c r="H117" s="63">
        <v>2255.7004400000001</v>
      </c>
      <c r="I117" s="63">
        <v>4558.8640450000003</v>
      </c>
      <c r="J117" s="63">
        <v>4548.8852159999997</v>
      </c>
      <c r="K117" s="63">
        <v>0</v>
      </c>
      <c r="L117" s="59"/>
      <c r="M117" s="26"/>
      <c r="N117" s="26"/>
    </row>
    <row r="118" spans="1:14" ht="24.6" customHeight="1" x14ac:dyDescent="0.35">
      <c r="A118" s="64" t="s">
        <v>97</v>
      </c>
      <c r="B118" s="62">
        <v>36.988332999999997</v>
      </c>
      <c r="C118" s="65">
        <v>32628.819330999999</v>
      </c>
      <c r="D118" s="65">
        <v>164102.68155499999</v>
      </c>
      <c r="E118" s="65">
        <v>196731.50088400001</v>
      </c>
      <c r="F118" s="65">
        <v>32622.431370999999</v>
      </c>
      <c r="G118" s="65">
        <v>160414.474831</v>
      </c>
      <c r="H118" s="65">
        <v>193036.90620299999</v>
      </c>
      <c r="I118" s="65">
        <v>397441.76929299999</v>
      </c>
      <c r="J118" s="65">
        <v>393435.757828</v>
      </c>
      <c r="K118" s="65">
        <v>0</v>
      </c>
      <c r="L118" s="59"/>
      <c r="M118" s="26"/>
      <c r="N118" s="26"/>
    </row>
    <row r="119" spans="1:14" ht="24.6" customHeight="1" x14ac:dyDescent="0.35">
      <c r="A119" s="61" t="s">
        <v>98</v>
      </c>
      <c r="B119" s="62">
        <v>9.2104000000000005E-2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59"/>
      <c r="M119" s="26"/>
      <c r="N119" s="26"/>
    </row>
    <row r="120" spans="1:14" ht="24.6" customHeight="1" x14ac:dyDescent="0.35">
      <c r="A120" s="60" t="s">
        <v>99</v>
      </c>
      <c r="B120" s="58">
        <v>37.839821000000001</v>
      </c>
      <c r="C120" s="58">
        <v>33296.536999999997</v>
      </c>
      <c r="D120" s="58">
        <v>167463.40100000001</v>
      </c>
      <c r="E120" s="58">
        <v>200759.93799999999</v>
      </c>
      <c r="F120" s="58">
        <v>33288.728000000003</v>
      </c>
      <c r="G120" s="58">
        <v>163775.08100000001</v>
      </c>
      <c r="H120" s="58">
        <v>197063.80900000001</v>
      </c>
      <c r="I120" s="58">
        <v>405580.62599999999</v>
      </c>
      <c r="J120" s="58">
        <v>401563.90899999999</v>
      </c>
      <c r="K120" s="58" t="s">
        <v>66</v>
      </c>
      <c r="L120" s="59"/>
      <c r="M120" s="26"/>
      <c r="N120" s="26"/>
    </row>
    <row r="121" spans="1:14" ht="24.6" customHeight="1" x14ac:dyDescent="0.3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59"/>
      <c r="M121" s="26"/>
      <c r="N121" s="26"/>
    </row>
    <row r="122" spans="1:14" ht="24.6" customHeight="1" x14ac:dyDescent="0.35">
      <c r="A122" s="61" t="s">
        <v>100</v>
      </c>
      <c r="B122" s="62">
        <v>1.1904760000000001</v>
      </c>
      <c r="C122" s="63">
        <v>1047.555764</v>
      </c>
      <c r="D122" s="63">
        <v>5268.5544229999996</v>
      </c>
      <c r="E122" s="63">
        <v>6316.1101859999999</v>
      </c>
      <c r="F122" s="63">
        <v>1047.3506769999999</v>
      </c>
      <c r="G122" s="63">
        <v>5268.3761569999997</v>
      </c>
      <c r="H122" s="63">
        <f>F122+G122</f>
        <v>6315.7268339999991</v>
      </c>
      <c r="I122" s="63">
        <v>12759.960057</v>
      </c>
      <c r="J122" s="63">
        <v>12759.202952</v>
      </c>
      <c r="K122" s="63">
        <v>0</v>
      </c>
      <c r="L122" s="59"/>
      <c r="M122" s="26"/>
      <c r="N122" s="26"/>
    </row>
    <row r="123" spans="1:14" ht="24.6" customHeight="1" x14ac:dyDescent="0.35">
      <c r="A123" s="61" t="s">
        <v>101</v>
      </c>
      <c r="B123" s="63"/>
      <c r="C123" s="63"/>
      <c r="D123" s="63"/>
      <c r="E123" s="63"/>
      <c r="F123" s="63">
        <v>0</v>
      </c>
      <c r="G123" s="63">
        <v>-3757.15</v>
      </c>
      <c r="H123" s="63">
        <f t="shared" ref="H123:H126" si="8">F123+G123</f>
        <v>-3757.15</v>
      </c>
      <c r="I123" s="63"/>
      <c r="J123" s="63">
        <v>-5780.9849999999997</v>
      </c>
      <c r="K123" s="63"/>
      <c r="L123" s="59"/>
      <c r="M123" s="26"/>
      <c r="N123" s="26"/>
    </row>
    <row r="124" spans="1:14" ht="24.6" customHeight="1" x14ac:dyDescent="0.35">
      <c r="A124" s="61" t="s">
        <v>102</v>
      </c>
      <c r="B124" s="63"/>
      <c r="C124" s="63"/>
      <c r="D124" s="63"/>
      <c r="E124" s="63"/>
      <c r="F124" s="63">
        <v>200.84</v>
      </c>
      <c r="G124" s="63">
        <v>6403.0924999999997</v>
      </c>
      <c r="H124" s="63">
        <f t="shared" si="8"/>
        <v>6603.9324999999999</v>
      </c>
      <c r="I124" s="63"/>
      <c r="J124" s="63">
        <v>17088.525000000001</v>
      </c>
      <c r="K124" s="63"/>
      <c r="L124" s="59"/>
      <c r="M124" s="26"/>
      <c r="N124" s="26"/>
    </row>
    <row r="125" spans="1:14" ht="24.6" customHeight="1" x14ac:dyDescent="0.35">
      <c r="A125" s="61" t="s">
        <v>103</v>
      </c>
      <c r="B125" s="63"/>
      <c r="C125" s="63"/>
      <c r="D125" s="63"/>
      <c r="E125" s="63"/>
      <c r="F125" s="63">
        <v>-445.58249999999998</v>
      </c>
      <c r="G125" s="63">
        <f>-29811.045-6902.2375</f>
        <v>-36713.282500000001</v>
      </c>
      <c r="H125" s="63">
        <f t="shared" si="8"/>
        <v>-37158.864999999998</v>
      </c>
      <c r="I125" s="63"/>
      <c r="J125" s="63">
        <v>-54380.917500000003</v>
      </c>
      <c r="K125" s="63"/>
      <c r="L125" s="59"/>
      <c r="M125" s="26"/>
      <c r="N125" s="26"/>
    </row>
    <row r="126" spans="1:14" ht="24.6" customHeight="1" x14ac:dyDescent="0.35">
      <c r="A126" s="61" t="s">
        <v>104</v>
      </c>
      <c r="B126" s="63"/>
      <c r="C126" s="63"/>
      <c r="D126" s="63"/>
      <c r="E126" s="63"/>
      <c r="F126" s="63">
        <v>0</v>
      </c>
      <c r="G126" s="63">
        <v>3.9750000000000001</v>
      </c>
      <c r="H126" s="63">
        <f t="shared" si="8"/>
        <v>3.9750000000000001</v>
      </c>
      <c r="I126" s="63"/>
      <c r="J126" s="63">
        <v>6.5875000000000004</v>
      </c>
      <c r="K126" s="63"/>
      <c r="L126" s="59"/>
      <c r="M126" s="26"/>
      <c r="N126" s="26"/>
    </row>
    <row r="127" spans="1:14" ht="24.6" customHeight="1" x14ac:dyDescent="0.35">
      <c r="A127" s="60" t="s">
        <v>105</v>
      </c>
      <c r="B127" s="58">
        <v>100</v>
      </c>
      <c r="C127" s="58">
        <v>87500.375</v>
      </c>
      <c r="D127" s="58">
        <v>439913.17499999999</v>
      </c>
      <c r="E127" s="58">
        <v>527413.55000000005</v>
      </c>
      <c r="F127" s="58">
        <f t="shared" ref="F127:G127" si="9">F96+F100+F103+F112+F120+F122+F123+F124+F125+F126</f>
        <v>86642.053176999994</v>
      </c>
      <c r="G127" s="58">
        <f t="shared" si="9"/>
        <v>390338.27515700005</v>
      </c>
      <c r="H127" s="58">
        <f>H96+H100+H103+H112+H120+H122+H123+H124+H125+H126</f>
        <v>476980.32833399996</v>
      </c>
      <c r="I127" s="58">
        <f>I96+I100+I103+I112+I120+I122</f>
        <v>1068284.1147449999</v>
      </c>
      <c r="J127" s="58">
        <f>J96+J100+J103+J112+J120+J122+J123+J124+J125+J126</f>
        <v>991015.76624400006</v>
      </c>
      <c r="K127" s="58" t="s">
        <v>66</v>
      </c>
      <c r="L127" s="68"/>
      <c r="M127" s="26"/>
      <c r="N127" s="26"/>
    </row>
    <row r="128" spans="1:14" ht="18.600000000000001" thickBot="1" x14ac:dyDescent="0.4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</row>
    <row r="129" spans="1:14" ht="18" x14ac:dyDescent="0.35">
      <c r="A129" s="25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1:14" ht="15.6" customHeight="1" x14ac:dyDescent="0.35">
      <c r="A130" s="38" t="s">
        <v>3</v>
      </c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40"/>
      <c r="M130" s="26"/>
      <c r="N130" s="26"/>
    </row>
    <row r="131" spans="1:14" ht="18" x14ac:dyDescent="0.35">
      <c r="A131" s="41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3"/>
      <c r="M131" s="26"/>
      <c r="N131" s="26"/>
    </row>
    <row r="132" spans="1:14" ht="18" x14ac:dyDescent="0.35">
      <c r="A132" s="44" t="s">
        <v>41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45"/>
      <c r="M132" s="26"/>
      <c r="N132" s="26"/>
    </row>
    <row r="133" spans="1:14" ht="18" x14ac:dyDescent="0.35">
      <c r="A133" s="46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8"/>
      <c r="M133" s="26"/>
      <c r="N133" s="26"/>
    </row>
    <row r="134" spans="1:14" ht="14.4" customHeight="1" x14ac:dyDescent="0.35">
      <c r="A134" s="49" t="s">
        <v>106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1"/>
      <c r="M134" s="26"/>
      <c r="N134" s="26"/>
    </row>
    <row r="135" spans="1:14" ht="14.4" customHeight="1" x14ac:dyDescent="0.35">
      <c r="A135" s="52" t="s">
        <v>43</v>
      </c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4"/>
      <c r="M135" s="26"/>
      <c r="N135" s="26"/>
    </row>
    <row r="136" spans="1:14" ht="24.6" customHeight="1" x14ac:dyDescent="0.35">
      <c r="A136" s="55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7"/>
      <c r="M136" s="26"/>
      <c r="N136" s="26"/>
    </row>
    <row r="137" spans="1:14" ht="103.2" customHeight="1" x14ac:dyDescent="0.35">
      <c r="A137" s="58" t="s">
        <v>44</v>
      </c>
      <c r="B137" s="58" t="s">
        <v>45</v>
      </c>
      <c r="C137" s="58" t="s">
        <v>46</v>
      </c>
      <c r="D137" s="58" t="s">
        <v>47</v>
      </c>
      <c r="E137" s="58" t="s">
        <v>48</v>
      </c>
      <c r="F137" s="58" t="s">
        <v>49</v>
      </c>
      <c r="G137" s="58" t="s">
        <v>50</v>
      </c>
      <c r="H137" s="58" t="s">
        <v>51</v>
      </c>
      <c r="I137" s="58" t="s">
        <v>52</v>
      </c>
      <c r="J137" s="58" t="s">
        <v>53</v>
      </c>
      <c r="K137" s="58" t="s">
        <v>54</v>
      </c>
      <c r="L137" s="59"/>
      <c r="M137" s="26"/>
      <c r="N137" s="26"/>
    </row>
    <row r="138" spans="1:14" ht="26.4" customHeight="1" x14ac:dyDescent="0.35">
      <c r="A138" s="58"/>
      <c r="B138" s="58" t="s">
        <v>55</v>
      </c>
      <c r="C138" s="58" t="s">
        <v>56</v>
      </c>
      <c r="D138" s="58" t="s">
        <v>56</v>
      </c>
      <c r="E138" s="58" t="s">
        <v>56</v>
      </c>
      <c r="F138" s="58" t="s">
        <v>56</v>
      </c>
      <c r="G138" s="58" t="s">
        <v>56</v>
      </c>
      <c r="H138" s="58" t="s">
        <v>56</v>
      </c>
      <c r="I138" s="58" t="s">
        <v>56</v>
      </c>
      <c r="J138" s="58" t="s">
        <v>56</v>
      </c>
      <c r="K138" s="58" t="s">
        <v>56</v>
      </c>
      <c r="L138" s="59"/>
      <c r="M138" s="26"/>
      <c r="N138" s="26"/>
    </row>
    <row r="139" spans="1:14" ht="26.4" customHeight="1" x14ac:dyDescent="0.35">
      <c r="A139" s="60" t="s">
        <v>57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59"/>
      <c r="M139" s="26"/>
      <c r="N139" s="26"/>
    </row>
    <row r="140" spans="1:14" ht="26.4" customHeight="1" x14ac:dyDescent="0.35">
      <c r="A140" s="61" t="s">
        <v>58</v>
      </c>
      <c r="B140" s="62">
        <v>73.831636000000003</v>
      </c>
      <c r="C140" s="63">
        <f>16572.126406+12000</f>
        <v>28572.126405999999</v>
      </c>
      <c r="D140" s="63">
        <f>104483.888254+28016.2721895</f>
        <v>132500.1604435</v>
      </c>
      <c r="E140" s="63">
        <f>C140+D140</f>
        <v>161072.2868495</v>
      </c>
      <c r="F140" s="63">
        <f>16445.254838+12000</f>
        <v>28445.254838000001</v>
      </c>
      <c r="G140" s="63">
        <f>95401.013061+28016.2721895</f>
        <v>123417.2852505</v>
      </c>
      <c r="H140" s="63">
        <f>F140+G140</f>
        <v>151862.54008850001</v>
      </c>
      <c r="I140" s="63">
        <v>346745.89112649998</v>
      </c>
      <c r="J140" s="63">
        <v>330960.5214735</v>
      </c>
      <c r="K140" s="63">
        <v>0</v>
      </c>
      <c r="L140" s="59"/>
      <c r="M140" s="26"/>
      <c r="N140" s="26"/>
    </row>
    <row r="141" spans="1:14" ht="26.4" customHeight="1" x14ac:dyDescent="0.35">
      <c r="A141" s="61" t="s">
        <v>59</v>
      </c>
      <c r="B141" s="62">
        <v>2.6</v>
      </c>
      <c r="C141" s="63">
        <v>1008.1955</v>
      </c>
      <c r="D141" s="63">
        <v>5008.6520250000003</v>
      </c>
      <c r="E141" s="63">
        <f t="shared" ref="E141:E145" si="10">C141+D141</f>
        <v>6016.8475250000001</v>
      </c>
      <c r="F141" s="63">
        <v>1008.055876</v>
      </c>
      <c r="G141" s="63">
        <v>4999.9835249999996</v>
      </c>
      <c r="H141" s="63">
        <f t="shared" ref="H141:H145" si="11">F141+G141</f>
        <v>6008.039401</v>
      </c>
      <c r="I141" s="63">
        <v>12582.142625</v>
      </c>
      <c r="J141" s="63">
        <v>12573.334501000001</v>
      </c>
      <c r="K141" s="63">
        <v>0</v>
      </c>
      <c r="L141" s="59"/>
      <c r="M141" s="26"/>
      <c r="N141" s="26"/>
    </row>
    <row r="142" spans="1:14" ht="26.4" customHeight="1" x14ac:dyDescent="0.35">
      <c r="A142" s="61" t="s">
        <v>60</v>
      </c>
      <c r="B142" s="62">
        <v>4.0828490000000004</v>
      </c>
      <c r="C142" s="63">
        <v>1580.7785200000001</v>
      </c>
      <c r="D142" s="63">
        <v>7853.972307</v>
      </c>
      <c r="E142" s="63">
        <f t="shared" si="10"/>
        <v>9434.7508269999998</v>
      </c>
      <c r="F142" s="63">
        <v>1580.5567820000001</v>
      </c>
      <c r="G142" s="63">
        <v>7743.559319</v>
      </c>
      <c r="H142" s="63">
        <f t="shared" si="11"/>
        <v>9324.1161009999996</v>
      </c>
      <c r="I142" s="63">
        <v>19861.11594</v>
      </c>
      <c r="J142" s="63">
        <v>19780.481213999999</v>
      </c>
      <c r="K142" s="63">
        <v>0</v>
      </c>
      <c r="L142" s="59"/>
      <c r="M142" s="26"/>
      <c r="N142" s="26"/>
    </row>
    <row r="143" spans="1:14" ht="26.4" customHeight="1" x14ac:dyDescent="0.35">
      <c r="A143" s="61" t="s">
        <v>61</v>
      </c>
      <c r="B143" s="62">
        <v>9.2229279999999996</v>
      </c>
      <c r="C143" s="63">
        <v>3595.7785960000001</v>
      </c>
      <c r="D143" s="63">
        <v>17857.465540000001</v>
      </c>
      <c r="E143" s="63">
        <f t="shared" si="10"/>
        <v>21453.244136000001</v>
      </c>
      <c r="F143" s="63">
        <v>3595.303253</v>
      </c>
      <c r="G143" s="63">
        <v>16679.409807</v>
      </c>
      <c r="H143" s="63">
        <f t="shared" si="11"/>
        <v>20274.713060000002</v>
      </c>
      <c r="I143" s="63">
        <v>43803.997017000002</v>
      </c>
      <c r="J143" s="63">
        <v>41494.859077000001</v>
      </c>
      <c r="K143" s="63">
        <v>0</v>
      </c>
      <c r="L143" s="59"/>
      <c r="M143" s="26"/>
      <c r="N143" s="26"/>
    </row>
    <row r="144" spans="1:14" ht="26.4" customHeight="1" x14ac:dyDescent="0.35">
      <c r="A144" s="61" t="s">
        <v>63</v>
      </c>
      <c r="B144" s="62">
        <v>0.52244400000000002</v>
      </c>
      <c r="C144" s="63">
        <v>202.53157899999999</v>
      </c>
      <c r="D144" s="63">
        <v>1006.181631</v>
      </c>
      <c r="E144" s="63">
        <f t="shared" si="10"/>
        <v>1208.7132100000001</v>
      </c>
      <c r="F144" s="63">
        <v>202.503466</v>
      </c>
      <c r="G144" s="63">
        <v>1004.515929</v>
      </c>
      <c r="H144" s="63">
        <f t="shared" si="11"/>
        <v>1207.019395</v>
      </c>
      <c r="I144" s="63">
        <v>2460.8576370000001</v>
      </c>
      <c r="J144" s="63">
        <v>2439.7347180000002</v>
      </c>
      <c r="K144" s="63">
        <v>0</v>
      </c>
      <c r="L144" s="59"/>
      <c r="M144" s="26"/>
      <c r="N144" s="26"/>
    </row>
    <row r="145" spans="1:14" ht="26.4" customHeight="1" x14ac:dyDescent="0.35">
      <c r="A145" s="61" t="s">
        <v>64</v>
      </c>
      <c r="B145" s="62">
        <v>9.4608519999999992</v>
      </c>
      <c r="C145" s="63">
        <v>3666.7394009999998</v>
      </c>
      <c r="D145" s="63">
        <v>18216.72264</v>
      </c>
      <c r="E145" s="63">
        <f t="shared" si="10"/>
        <v>21883.462040999999</v>
      </c>
      <c r="F145" s="63">
        <v>3569.0468019999998</v>
      </c>
      <c r="G145" s="63">
        <v>16922.857873000001</v>
      </c>
      <c r="H145" s="63">
        <f t="shared" si="11"/>
        <v>20491.904675000002</v>
      </c>
      <c r="I145" s="63">
        <v>45863.533597000001</v>
      </c>
      <c r="J145" s="63">
        <v>43436.478451000003</v>
      </c>
      <c r="K145" s="63">
        <v>0</v>
      </c>
      <c r="L145" s="59"/>
      <c r="M145" s="26"/>
      <c r="N145" s="26"/>
    </row>
    <row r="146" spans="1:14" ht="26.4" customHeight="1" x14ac:dyDescent="0.35">
      <c r="A146" s="60" t="s">
        <v>75</v>
      </c>
      <c r="B146" s="58">
        <v>99.720708999999999</v>
      </c>
      <c r="C146" s="58">
        <f>SUM(C140:C145)</f>
        <v>38626.150002000002</v>
      </c>
      <c r="D146" s="58">
        <f t="shared" ref="D146:H146" si="12">SUM(D140:D145)</f>
        <v>182443.15458649999</v>
      </c>
      <c r="E146" s="58">
        <f t="shared" si="12"/>
        <v>221069.30458849997</v>
      </c>
      <c r="F146" s="58">
        <f t="shared" si="12"/>
        <v>38400.721016999996</v>
      </c>
      <c r="G146" s="58">
        <f t="shared" si="12"/>
        <v>170767.61170349998</v>
      </c>
      <c r="H146" s="58">
        <f t="shared" si="12"/>
        <v>209168.33272050001</v>
      </c>
      <c r="I146" s="58">
        <f>SUM(I140:I145)</f>
        <v>471317.53794249991</v>
      </c>
      <c r="J146" s="58">
        <f>SUM(J140:J145)</f>
        <v>450685.40943449998</v>
      </c>
      <c r="K146" s="58" t="s">
        <v>66</v>
      </c>
      <c r="L146" s="59"/>
      <c r="M146" s="26"/>
      <c r="N146" s="26"/>
    </row>
    <row r="147" spans="1:14" ht="26.4" customHeight="1" x14ac:dyDescent="0.35">
      <c r="A147" s="60" t="s">
        <v>76</v>
      </c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59"/>
      <c r="M147" s="26"/>
      <c r="N147" s="26"/>
    </row>
    <row r="148" spans="1:14" ht="26.4" customHeight="1" x14ac:dyDescent="0.35">
      <c r="A148" s="61" t="s">
        <v>77</v>
      </c>
      <c r="B148" s="62">
        <v>0</v>
      </c>
      <c r="C148" s="63">
        <v>0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59"/>
      <c r="M148" s="26"/>
      <c r="N148" s="26"/>
    </row>
    <row r="149" spans="1:14" ht="26.4" customHeight="1" x14ac:dyDescent="0.35">
      <c r="A149" s="61" t="s">
        <v>78</v>
      </c>
      <c r="B149" s="62">
        <v>0.27929100000000001</v>
      </c>
      <c r="C149" s="63">
        <v>108.299999</v>
      </c>
      <c r="D149" s="63">
        <v>538.027604</v>
      </c>
      <c r="E149" s="63">
        <v>646.32760299999995</v>
      </c>
      <c r="F149" s="63">
        <v>123.38854499999999</v>
      </c>
      <c r="G149" s="63">
        <v>522.07194100000004</v>
      </c>
      <c r="H149" s="63">
        <v>645.46048499999995</v>
      </c>
      <c r="I149" s="63">
        <v>1351.5692489999999</v>
      </c>
      <c r="J149" s="63">
        <v>1535.3223549999998</v>
      </c>
      <c r="K149" s="63">
        <v>0</v>
      </c>
      <c r="L149" s="59"/>
      <c r="M149" s="26"/>
      <c r="N149" s="26"/>
    </row>
    <row r="150" spans="1:14" ht="26.4" customHeight="1" x14ac:dyDescent="0.35">
      <c r="A150" s="60" t="s">
        <v>79</v>
      </c>
      <c r="B150" s="58">
        <v>0.27929100000000001</v>
      </c>
      <c r="C150" s="58">
        <v>108.3</v>
      </c>
      <c r="D150" s="58">
        <v>538.02800000000002</v>
      </c>
      <c r="E150" s="58">
        <v>646.32799999999997</v>
      </c>
      <c r="F150" s="58">
        <v>123.389</v>
      </c>
      <c r="G150" s="58">
        <v>522.072</v>
      </c>
      <c r="H150" s="58">
        <v>645.46</v>
      </c>
      <c r="I150" s="58">
        <v>1351.569</v>
      </c>
      <c r="J150" s="58">
        <v>1535.3219999999999</v>
      </c>
      <c r="K150" s="58" t="s">
        <v>66</v>
      </c>
      <c r="L150" s="59"/>
      <c r="M150" s="26"/>
      <c r="N150" s="26"/>
    </row>
    <row r="151" spans="1:14" ht="26.4" customHeight="1" x14ac:dyDescent="0.35">
      <c r="A151" s="60" t="s">
        <v>82</v>
      </c>
      <c r="B151" s="58"/>
      <c r="C151" s="58"/>
      <c r="D151" s="58"/>
      <c r="E151" s="58"/>
      <c r="F151" s="58"/>
      <c r="G151" s="58"/>
      <c r="H151" s="58">
        <v>0</v>
      </c>
      <c r="I151" s="58"/>
      <c r="J151" s="58">
        <v>0</v>
      </c>
      <c r="K151" s="58" t="s">
        <v>66</v>
      </c>
      <c r="L151" s="59"/>
      <c r="M151" s="26"/>
      <c r="N151" s="26"/>
    </row>
    <row r="152" spans="1:14" ht="26.4" customHeight="1" x14ac:dyDescent="0.35">
      <c r="A152" s="60" t="s">
        <v>91</v>
      </c>
      <c r="B152" s="58"/>
      <c r="C152" s="58"/>
      <c r="D152" s="58"/>
      <c r="E152" s="58"/>
      <c r="F152" s="58"/>
      <c r="G152" s="58"/>
      <c r="H152" s="58">
        <v>0</v>
      </c>
      <c r="I152" s="58"/>
      <c r="J152" s="58">
        <v>0</v>
      </c>
      <c r="K152" s="58" t="s">
        <v>66</v>
      </c>
      <c r="L152" s="59"/>
      <c r="M152" s="26"/>
      <c r="N152" s="26"/>
    </row>
    <row r="153" spans="1:14" ht="26.4" customHeight="1" x14ac:dyDescent="0.35">
      <c r="A153" s="60" t="s">
        <v>99</v>
      </c>
      <c r="B153" s="58"/>
      <c r="C153" s="58"/>
      <c r="D153" s="58"/>
      <c r="E153" s="58"/>
      <c r="F153" s="58"/>
      <c r="G153" s="58"/>
      <c r="H153" s="58">
        <v>0</v>
      </c>
      <c r="I153" s="58"/>
      <c r="J153" s="58">
        <v>0</v>
      </c>
      <c r="K153" s="58" t="s">
        <v>66</v>
      </c>
      <c r="L153" s="59"/>
      <c r="M153" s="26"/>
      <c r="N153" s="26"/>
    </row>
    <row r="154" spans="1:14" ht="26.4" customHeight="1" x14ac:dyDescent="0.3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59"/>
      <c r="M154" s="26"/>
      <c r="N154" s="26"/>
    </row>
    <row r="155" spans="1:14" ht="26.4" customHeight="1" x14ac:dyDescent="0.35">
      <c r="A155" s="61" t="s">
        <v>101</v>
      </c>
      <c r="B155" s="63"/>
      <c r="C155" s="63"/>
      <c r="D155" s="63"/>
      <c r="E155" s="63"/>
      <c r="F155" s="63">
        <v>0</v>
      </c>
      <c r="G155" s="63">
        <v>-729.95</v>
      </c>
      <c r="H155" s="63">
        <f>F155+G155</f>
        <v>-729.95</v>
      </c>
      <c r="I155" s="63"/>
      <c r="J155" s="63">
        <v>-926.36749999999995</v>
      </c>
      <c r="K155" s="63"/>
      <c r="L155" s="59"/>
      <c r="M155" s="26"/>
      <c r="N155" s="26"/>
    </row>
    <row r="156" spans="1:14" ht="26.4" customHeight="1" x14ac:dyDescent="0.35">
      <c r="A156" s="61" t="s">
        <v>102</v>
      </c>
      <c r="B156" s="63"/>
      <c r="C156" s="63"/>
      <c r="D156" s="63"/>
      <c r="E156" s="63"/>
      <c r="F156" s="63">
        <v>48.09</v>
      </c>
      <c r="G156" s="63">
        <v>6998.23</v>
      </c>
      <c r="H156" s="63">
        <f t="shared" ref="H156:H158" si="13">F156+G156</f>
        <v>7046.32</v>
      </c>
      <c r="I156" s="63"/>
      <c r="J156" s="63">
        <v>13027.665000000001</v>
      </c>
      <c r="K156" s="63"/>
      <c r="L156" s="59"/>
      <c r="M156" s="26"/>
      <c r="N156" s="26"/>
    </row>
    <row r="157" spans="1:14" ht="26.4" customHeight="1" x14ac:dyDescent="0.35">
      <c r="A157" s="61" t="s">
        <v>103</v>
      </c>
      <c r="B157" s="63"/>
      <c r="C157" s="63"/>
      <c r="D157" s="63"/>
      <c r="E157" s="63"/>
      <c r="F157" s="63">
        <v>-4.8250000000000002</v>
      </c>
      <c r="G157" s="63">
        <f>-15514.8925-1403.67</f>
        <v>-16918.5625</v>
      </c>
      <c r="H157" s="63">
        <f t="shared" si="13"/>
        <v>-16923.387500000001</v>
      </c>
      <c r="I157" s="63"/>
      <c r="J157" s="63">
        <v>-23358.767500000002</v>
      </c>
      <c r="K157" s="63"/>
      <c r="L157" s="59"/>
      <c r="M157" s="26"/>
      <c r="N157" s="26"/>
    </row>
    <row r="158" spans="1:14" ht="26.4" customHeight="1" x14ac:dyDescent="0.35">
      <c r="A158" s="61" t="s">
        <v>104</v>
      </c>
      <c r="B158" s="63"/>
      <c r="C158" s="63"/>
      <c r="D158" s="63"/>
      <c r="E158" s="63"/>
      <c r="F158" s="63">
        <v>0</v>
      </c>
      <c r="G158" s="63">
        <v>12.78</v>
      </c>
      <c r="H158" s="63">
        <f t="shared" si="13"/>
        <v>12.78</v>
      </c>
      <c r="I158" s="63"/>
      <c r="J158" s="63">
        <v>132.55500000000001</v>
      </c>
      <c r="K158" s="63"/>
      <c r="L158" s="59"/>
      <c r="M158" s="26"/>
      <c r="N158" s="26"/>
    </row>
    <row r="159" spans="1:14" ht="26.4" customHeight="1" x14ac:dyDescent="0.35">
      <c r="A159" s="60" t="s">
        <v>105</v>
      </c>
      <c r="B159" s="58">
        <v>100</v>
      </c>
      <c r="C159" s="58">
        <f>C146+C150</f>
        <v>38734.450002000005</v>
      </c>
      <c r="D159" s="58">
        <f t="shared" ref="D159:E159" si="14">D146+D150</f>
        <v>182981.18258649998</v>
      </c>
      <c r="E159" s="58">
        <f t="shared" si="14"/>
        <v>221715.63258849998</v>
      </c>
      <c r="F159" s="58">
        <f>F146+F150+F155+F156+F157+F158</f>
        <v>38567.375016999998</v>
      </c>
      <c r="G159" s="58">
        <f t="shared" ref="G159:H159" si="15">G146+G150+G155+G156+G157+G158</f>
        <v>160652.18120349996</v>
      </c>
      <c r="H159" s="58">
        <f t="shared" si="15"/>
        <v>199219.55522049998</v>
      </c>
      <c r="I159" s="58">
        <f>I146+I150</f>
        <v>472669.10694249993</v>
      </c>
      <c r="J159" s="58">
        <f>J146+J150+J155+J156+J157+J158</f>
        <v>441095.81643449992</v>
      </c>
      <c r="K159" s="58" t="s">
        <v>66</v>
      </c>
      <c r="L159" s="68"/>
      <c r="M159" s="26"/>
      <c r="N159" s="26"/>
    </row>
    <row r="160" spans="1:14" ht="18.600000000000001" thickBot="1" x14ac:dyDescent="0.4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</row>
    <row r="161" spans="1:14" ht="18" x14ac:dyDescent="0.35">
      <c r="A161" s="25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 ht="15.6" hidden="1" customHeight="1" x14ac:dyDescent="0.35">
      <c r="A162" s="38" t="s">
        <v>3</v>
      </c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40"/>
      <c r="M162" s="26"/>
      <c r="N162" s="26"/>
    </row>
    <row r="163" spans="1:14" ht="18" hidden="1" x14ac:dyDescent="0.35">
      <c r="A163" s="41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3"/>
      <c r="M163" s="26"/>
      <c r="N163" s="26"/>
    </row>
    <row r="164" spans="1:14" ht="18" hidden="1" x14ac:dyDescent="0.35">
      <c r="A164" s="44" t="s">
        <v>107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45"/>
      <c r="M164" s="26"/>
      <c r="N164" s="26"/>
    </row>
    <row r="165" spans="1:14" ht="18" hidden="1" x14ac:dyDescent="0.35">
      <c r="A165" s="46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8"/>
      <c r="M165" s="26"/>
      <c r="N165" s="26"/>
    </row>
    <row r="166" spans="1:14" ht="14.4" hidden="1" customHeight="1" x14ac:dyDescent="0.35">
      <c r="A166" s="49" t="s">
        <v>108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1"/>
      <c r="M166" s="26"/>
      <c r="N166" s="26"/>
    </row>
    <row r="167" spans="1:14" ht="14.4" hidden="1" customHeight="1" x14ac:dyDescent="0.35">
      <c r="A167" s="52" t="s">
        <v>43</v>
      </c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4"/>
      <c r="M167" s="26"/>
      <c r="N167" s="26"/>
    </row>
    <row r="168" spans="1:14" ht="18" hidden="1" x14ac:dyDescent="0.35">
      <c r="A168" s="55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7"/>
      <c r="M168" s="26"/>
      <c r="N168" s="26"/>
    </row>
    <row r="169" spans="1:14" ht="126" hidden="1" x14ac:dyDescent="0.35">
      <c r="A169" s="58" t="s">
        <v>44</v>
      </c>
      <c r="B169" s="58" t="s">
        <v>45</v>
      </c>
      <c r="C169" s="58" t="s">
        <v>46</v>
      </c>
      <c r="D169" s="58" t="s">
        <v>47</v>
      </c>
      <c r="E169" s="58" t="s">
        <v>48</v>
      </c>
      <c r="F169" s="58" t="s">
        <v>49</v>
      </c>
      <c r="G169" s="58" t="s">
        <v>50</v>
      </c>
      <c r="H169" s="58" t="s">
        <v>51</v>
      </c>
      <c r="I169" s="58" t="s">
        <v>52</v>
      </c>
      <c r="J169" s="58" t="s">
        <v>53</v>
      </c>
      <c r="K169" s="58" t="s">
        <v>54</v>
      </c>
      <c r="L169" s="59"/>
      <c r="M169" s="26"/>
      <c r="N169" s="26"/>
    </row>
    <row r="170" spans="1:14" ht="18" hidden="1" x14ac:dyDescent="0.35">
      <c r="A170" s="58"/>
      <c r="B170" s="58" t="s">
        <v>55</v>
      </c>
      <c r="C170" s="58" t="s">
        <v>56</v>
      </c>
      <c r="D170" s="58" t="s">
        <v>56</v>
      </c>
      <c r="E170" s="58" t="s">
        <v>56</v>
      </c>
      <c r="F170" s="58" t="s">
        <v>56</v>
      </c>
      <c r="G170" s="58" t="s">
        <v>56</v>
      </c>
      <c r="H170" s="58" t="s">
        <v>56</v>
      </c>
      <c r="I170" s="58" t="s">
        <v>56</v>
      </c>
      <c r="J170" s="58" t="s">
        <v>56</v>
      </c>
      <c r="K170" s="58" t="s">
        <v>56</v>
      </c>
      <c r="L170" s="59"/>
      <c r="M170" s="26"/>
      <c r="N170" s="26"/>
    </row>
    <row r="171" spans="1:14" ht="18" hidden="1" x14ac:dyDescent="0.35">
      <c r="A171" s="60" t="s">
        <v>57</v>
      </c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59"/>
      <c r="M171" s="26"/>
      <c r="N171" s="26"/>
    </row>
    <row r="172" spans="1:14" ht="18" hidden="1" x14ac:dyDescent="0.35">
      <c r="A172" s="61" t="s">
        <v>58</v>
      </c>
      <c r="B172" s="63">
        <v>37.913018000000001</v>
      </c>
      <c r="C172" s="63">
        <v>0</v>
      </c>
      <c r="D172" s="63">
        <v>6908.9475409999995</v>
      </c>
      <c r="E172" s="63">
        <v>6908.9475389999998</v>
      </c>
      <c r="F172" s="63">
        <v>0</v>
      </c>
      <c r="G172" s="63">
        <v>6908.9475409999995</v>
      </c>
      <c r="H172" s="63">
        <v>6908.9475389999998</v>
      </c>
      <c r="I172" s="63">
        <v>13011.650358999999</v>
      </c>
      <c r="J172" s="63">
        <v>13011.650358999999</v>
      </c>
      <c r="K172" s="63">
        <v>0</v>
      </c>
      <c r="L172" s="59"/>
      <c r="M172" s="26"/>
      <c r="N172" s="26"/>
    </row>
    <row r="173" spans="1:14" ht="18" hidden="1" x14ac:dyDescent="0.35">
      <c r="A173" s="61" t="s">
        <v>59</v>
      </c>
      <c r="B173" s="63">
        <v>10</v>
      </c>
      <c r="C173" s="63">
        <v>0</v>
      </c>
      <c r="D173" s="63">
        <v>1824.501</v>
      </c>
      <c r="E173" s="63">
        <v>1824.501</v>
      </c>
      <c r="F173" s="63">
        <v>0</v>
      </c>
      <c r="G173" s="63">
        <v>1824.501</v>
      </c>
      <c r="H173" s="63">
        <v>1824.501</v>
      </c>
      <c r="I173" s="63">
        <v>3414.9009999999998</v>
      </c>
      <c r="J173" s="63">
        <v>3414.9009999999998</v>
      </c>
      <c r="K173" s="63">
        <v>0</v>
      </c>
      <c r="L173" s="59"/>
      <c r="M173" s="26"/>
      <c r="N173" s="26"/>
    </row>
    <row r="174" spans="1:14" ht="18" hidden="1" x14ac:dyDescent="0.35">
      <c r="A174" s="61" t="s">
        <v>60</v>
      </c>
      <c r="B174" s="63">
        <v>12.284929</v>
      </c>
      <c r="C174" s="63">
        <v>0</v>
      </c>
      <c r="D174" s="63">
        <v>2240.0582490000002</v>
      </c>
      <c r="E174" s="63">
        <v>2240.0582490000002</v>
      </c>
      <c r="F174" s="63">
        <v>0</v>
      </c>
      <c r="G174" s="63">
        <v>2240.0582490000002</v>
      </c>
      <c r="H174" s="63">
        <v>2240.0582490000002</v>
      </c>
      <c r="I174" s="63">
        <v>4205.5573329999997</v>
      </c>
      <c r="J174" s="63">
        <v>4205.5573329999997</v>
      </c>
      <c r="K174" s="63">
        <v>0</v>
      </c>
      <c r="L174" s="59"/>
      <c r="M174" s="26"/>
      <c r="N174" s="26"/>
    </row>
    <row r="175" spans="1:14" ht="18" hidden="1" x14ac:dyDescent="0.35">
      <c r="A175" s="61" t="s">
        <v>61</v>
      </c>
      <c r="B175" s="63">
        <v>2.4248609999999999</v>
      </c>
      <c r="C175" s="63">
        <v>0</v>
      </c>
      <c r="D175" s="63">
        <v>453.08947499999999</v>
      </c>
      <c r="E175" s="63">
        <v>453.089473</v>
      </c>
      <c r="F175" s="63">
        <v>0</v>
      </c>
      <c r="G175" s="63">
        <v>453.08947499999999</v>
      </c>
      <c r="H175" s="63">
        <v>453.089473</v>
      </c>
      <c r="I175" s="63">
        <v>744.69137799999999</v>
      </c>
      <c r="J175" s="63">
        <v>744.69137799999999</v>
      </c>
      <c r="K175" s="63">
        <v>0</v>
      </c>
      <c r="L175" s="59"/>
      <c r="M175" s="26"/>
      <c r="N175" s="26"/>
    </row>
    <row r="176" spans="1:14" ht="18" hidden="1" x14ac:dyDescent="0.35">
      <c r="A176" s="61" t="s">
        <v>63</v>
      </c>
      <c r="B176" s="63">
        <v>13.365736</v>
      </c>
      <c r="C176" s="63">
        <v>0</v>
      </c>
      <c r="D176" s="63">
        <v>2438.5492939999999</v>
      </c>
      <c r="E176" s="63">
        <v>2438.549293</v>
      </c>
      <c r="F176" s="63">
        <v>0</v>
      </c>
      <c r="G176" s="63">
        <v>2438.5492939999999</v>
      </c>
      <c r="H176" s="63">
        <v>2438.549293</v>
      </c>
      <c r="I176" s="63">
        <v>4564.5029949999998</v>
      </c>
      <c r="J176" s="63">
        <v>4564.5029949999998</v>
      </c>
      <c r="K176" s="63">
        <v>0</v>
      </c>
      <c r="L176" s="59"/>
      <c r="M176" s="26"/>
      <c r="N176" s="26"/>
    </row>
    <row r="177" spans="1:14" ht="18" hidden="1" x14ac:dyDescent="0.35">
      <c r="A177" s="61" t="s">
        <v>64</v>
      </c>
      <c r="B177" s="63">
        <v>24.011455999999999</v>
      </c>
      <c r="C177" s="63">
        <v>0</v>
      </c>
      <c r="D177" s="63">
        <v>4379.8644420000001</v>
      </c>
      <c r="E177" s="63">
        <v>4379.8644400000003</v>
      </c>
      <c r="F177" s="63">
        <v>0</v>
      </c>
      <c r="G177" s="63">
        <v>4379.8644420000001</v>
      </c>
      <c r="H177" s="63">
        <v>4379.8644400000003</v>
      </c>
      <c r="I177" s="63">
        <v>8207.7069289999999</v>
      </c>
      <c r="J177" s="63">
        <v>8207.7069289999999</v>
      </c>
      <c r="K177" s="63">
        <v>0</v>
      </c>
      <c r="L177" s="59"/>
      <c r="M177" s="26"/>
      <c r="N177" s="26"/>
    </row>
    <row r="178" spans="1:14" ht="18" hidden="1" x14ac:dyDescent="0.35">
      <c r="A178" s="60" t="s">
        <v>75</v>
      </c>
      <c r="B178" s="58">
        <v>100</v>
      </c>
      <c r="C178" s="58">
        <v>0</v>
      </c>
      <c r="D178" s="58">
        <v>18245.009999999998</v>
      </c>
      <c r="E178" s="58">
        <v>18245.009999999998</v>
      </c>
      <c r="F178" s="58">
        <v>0</v>
      </c>
      <c r="G178" s="58">
        <v>18245.009999999998</v>
      </c>
      <c r="H178" s="58">
        <v>18245.009999999998</v>
      </c>
      <c r="I178" s="58">
        <v>34149.01</v>
      </c>
      <c r="J178" s="58">
        <v>34149.01</v>
      </c>
      <c r="K178" s="58" t="s">
        <v>66</v>
      </c>
      <c r="L178" s="59"/>
      <c r="M178" s="26"/>
      <c r="N178" s="26"/>
    </row>
    <row r="179" spans="1:14" ht="18" hidden="1" x14ac:dyDescent="0.35">
      <c r="A179" s="60" t="s">
        <v>79</v>
      </c>
      <c r="B179" s="58"/>
      <c r="C179" s="58"/>
      <c r="D179" s="58"/>
      <c r="E179" s="58"/>
      <c r="F179" s="58"/>
      <c r="G179" s="58"/>
      <c r="H179" s="58">
        <v>0</v>
      </c>
      <c r="I179" s="58"/>
      <c r="J179" s="58">
        <v>0</v>
      </c>
      <c r="K179" s="58" t="s">
        <v>66</v>
      </c>
      <c r="L179" s="59"/>
      <c r="M179" s="26"/>
      <c r="N179" s="26"/>
    </row>
    <row r="180" spans="1:14" ht="18" hidden="1" x14ac:dyDescent="0.35">
      <c r="A180" s="60" t="s">
        <v>82</v>
      </c>
      <c r="B180" s="58"/>
      <c r="C180" s="58"/>
      <c r="D180" s="58"/>
      <c r="E180" s="58"/>
      <c r="F180" s="58"/>
      <c r="G180" s="58"/>
      <c r="H180" s="58">
        <v>0</v>
      </c>
      <c r="I180" s="58"/>
      <c r="J180" s="58">
        <v>0</v>
      </c>
      <c r="K180" s="58" t="s">
        <v>66</v>
      </c>
      <c r="L180" s="59"/>
      <c r="M180" s="26"/>
      <c r="N180" s="26"/>
    </row>
    <row r="181" spans="1:14" ht="18" hidden="1" x14ac:dyDescent="0.35">
      <c r="A181" s="60" t="s">
        <v>91</v>
      </c>
      <c r="B181" s="58"/>
      <c r="C181" s="58"/>
      <c r="D181" s="58"/>
      <c r="E181" s="58"/>
      <c r="F181" s="58"/>
      <c r="G181" s="58"/>
      <c r="H181" s="58">
        <v>0</v>
      </c>
      <c r="I181" s="58"/>
      <c r="J181" s="58">
        <v>0</v>
      </c>
      <c r="K181" s="58" t="s">
        <v>66</v>
      </c>
      <c r="L181" s="59"/>
      <c r="M181" s="26"/>
      <c r="N181" s="26"/>
    </row>
    <row r="182" spans="1:14" ht="18" hidden="1" x14ac:dyDescent="0.35">
      <c r="A182" s="60" t="s">
        <v>99</v>
      </c>
      <c r="B182" s="58"/>
      <c r="C182" s="58"/>
      <c r="D182" s="58"/>
      <c r="E182" s="58"/>
      <c r="F182" s="58"/>
      <c r="G182" s="58"/>
      <c r="H182" s="58">
        <v>0</v>
      </c>
      <c r="I182" s="58"/>
      <c r="J182" s="58">
        <v>0</v>
      </c>
      <c r="K182" s="58" t="s">
        <v>66</v>
      </c>
      <c r="L182" s="59"/>
      <c r="M182" s="26"/>
      <c r="N182" s="26"/>
    </row>
    <row r="183" spans="1:14" ht="18" hidden="1" x14ac:dyDescent="0.35">
      <c r="A183" s="60" t="s">
        <v>105</v>
      </c>
      <c r="B183" s="58">
        <v>100</v>
      </c>
      <c r="C183" s="58">
        <v>0</v>
      </c>
      <c r="D183" s="58">
        <v>18245.009999999998</v>
      </c>
      <c r="E183" s="58">
        <v>18245.009999999998</v>
      </c>
      <c r="F183" s="58">
        <v>0</v>
      </c>
      <c r="G183" s="58">
        <v>18245.009999999998</v>
      </c>
      <c r="H183" s="58">
        <v>18245.009999999998</v>
      </c>
      <c r="I183" s="58">
        <v>34149.01</v>
      </c>
      <c r="J183" s="58">
        <v>34149.01</v>
      </c>
      <c r="K183" s="58" t="s">
        <v>66</v>
      </c>
      <c r="L183" s="68"/>
      <c r="M183" s="26"/>
      <c r="N183" s="26"/>
    </row>
    <row r="184" spans="1:14" ht="18.600000000000001" hidden="1" thickBot="1" x14ac:dyDescent="0.4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</row>
    <row r="185" spans="1:14" ht="18" hidden="1" x14ac:dyDescent="0.35">
      <c r="A185" s="25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1:14" ht="15.6" hidden="1" customHeight="1" x14ac:dyDescent="0.35">
      <c r="A186" s="38" t="s">
        <v>3</v>
      </c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40"/>
      <c r="M186" s="26"/>
      <c r="N186" s="26"/>
    </row>
    <row r="187" spans="1:14" ht="18" hidden="1" x14ac:dyDescent="0.35">
      <c r="A187" s="41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3"/>
      <c r="M187" s="26"/>
      <c r="N187" s="26"/>
    </row>
    <row r="188" spans="1:14" ht="18" hidden="1" x14ac:dyDescent="0.35">
      <c r="A188" s="44" t="s">
        <v>107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45"/>
      <c r="M188" s="26"/>
      <c r="N188" s="26"/>
    </row>
    <row r="189" spans="1:14" ht="18" hidden="1" x14ac:dyDescent="0.35">
      <c r="A189" s="46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8"/>
      <c r="M189" s="26"/>
      <c r="N189" s="26"/>
    </row>
    <row r="190" spans="1:14" ht="14.4" hidden="1" customHeight="1" x14ac:dyDescent="0.35">
      <c r="A190" s="49" t="s">
        <v>109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1"/>
      <c r="M190" s="26"/>
      <c r="N190" s="26"/>
    </row>
    <row r="191" spans="1:14" ht="14.4" hidden="1" customHeight="1" x14ac:dyDescent="0.35">
      <c r="A191" s="52" t="s">
        <v>43</v>
      </c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4"/>
      <c r="M191" s="26"/>
      <c r="N191" s="26"/>
    </row>
    <row r="192" spans="1:14" ht="18" hidden="1" x14ac:dyDescent="0.35">
      <c r="A192" s="55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7"/>
      <c r="M192" s="26"/>
      <c r="N192" s="26"/>
    </row>
    <row r="193" spans="1:14" ht="126" hidden="1" x14ac:dyDescent="0.35">
      <c r="A193" s="58" t="s">
        <v>44</v>
      </c>
      <c r="B193" s="58" t="s">
        <v>45</v>
      </c>
      <c r="C193" s="58" t="s">
        <v>46</v>
      </c>
      <c r="D193" s="58" t="s">
        <v>47</v>
      </c>
      <c r="E193" s="58" t="s">
        <v>48</v>
      </c>
      <c r="F193" s="58" t="s">
        <v>49</v>
      </c>
      <c r="G193" s="58" t="s">
        <v>50</v>
      </c>
      <c r="H193" s="58" t="s">
        <v>51</v>
      </c>
      <c r="I193" s="58" t="s">
        <v>52</v>
      </c>
      <c r="J193" s="58" t="s">
        <v>53</v>
      </c>
      <c r="K193" s="58" t="s">
        <v>54</v>
      </c>
      <c r="L193" s="59"/>
      <c r="M193" s="26"/>
      <c r="N193" s="26"/>
    </row>
    <row r="194" spans="1:14" ht="18" hidden="1" x14ac:dyDescent="0.35">
      <c r="A194" s="58"/>
      <c r="B194" s="58" t="s">
        <v>55</v>
      </c>
      <c r="C194" s="58" t="s">
        <v>56</v>
      </c>
      <c r="D194" s="58" t="s">
        <v>56</v>
      </c>
      <c r="E194" s="58" t="s">
        <v>56</v>
      </c>
      <c r="F194" s="58" t="s">
        <v>56</v>
      </c>
      <c r="G194" s="58" t="s">
        <v>56</v>
      </c>
      <c r="H194" s="58" t="s">
        <v>56</v>
      </c>
      <c r="I194" s="58" t="s">
        <v>56</v>
      </c>
      <c r="J194" s="58" t="s">
        <v>56</v>
      </c>
      <c r="K194" s="58" t="s">
        <v>56</v>
      </c>
      <c r="L194" s="59"/>
      <c r="M194" s="26"/>
      <c r="N194" s="26"/>
    </row>
    <row r="195" spans="1:14" ht="18" hidden="1" x14ac:dyDescent="0.35">
      <c r="A195" s="60" t="s">
        <v>57</v>
      </c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59"/>
      <c r="M195" s="26"/>
      <c r="N195" s="26"/>
    </row>
    <row r="196" spans="1:14" ht="18" hidden="1" x14ac:dyDescent="0.35">
      <c r="A196" s="61" t="s">
        <v>58</v>
      </c>
      <c r="B196" s="63">
        <v>20.523018</v>
      </c>
      <c r="C196" s="63">
        <v>0</v>
      </c>
      <c r="D196" s="63">
        <v>0</v>
      </c>
      <c r="E196" s="63">
        <v>0</v>
      </c>
      <c r="F196" s="63">
        <v>0</v>
      </c>
      <c r="G196" s="63">
        <v>0</v>
      </c>
      <c r="H196" s="63">
        <v>0</v>
      </c>
      <c r="I196" s="63">
        <v>0</v>
      </c>
      <c r="J196" s="63">
        <v>0</v>
      </c>
      <c r="K196" s="63">
        <v>0</v>
      </c>
      <c r="L196" s="59"/>
      <c r="M196" s="26"/>
      <c r="N196" s="26"/>
    </row>
    <row r="197" spans="1:14" ht="18" hidden="1" x14ac:dyDescent="0.35">
      <c r="A197" s="61" t="s">
        <v>59</v>
      </c>
      <c r="B197" s="63">
        <v>8.64</v>
      </c>
      <c r="C197" s="63">
        <v>0</v>
      </c>
      <c r="D197" s="63">
        <v>0</v>
      </c>
      <c r="E197" s="63">
        <v>0</v>
      </c>
      <c r="F197" s="63">
        <v>0</v>
      </c>
      <c r="G197" s="63">
        <v>0</v>
      </c>
      <c r="H197" s="63">
        <v>0</v>
      </c>
      <c r="I197" s="63">
        <v>0</v>
      </c>
      <c r="J197" s="63">
        <v>0</v>
      </c>
      <c r="K197" s="63">
        <v>0</v>
      </c>
      <c r="L197" s="59"/>
      <c r="M197" s="26"/>
      <c r="N197" s="26"/>
    </row>
    <row r="198" spans="1:14" ht="18" hidden="1" x14ac:dyDescent="0.35">
      <c r="A198" s="61" t="s">
        <v>60</v>
      </c>
      <c r="B198" s="63">
        <v>9.4049289999999992</v>
      </c>
      <c r="C198" s="63">
        <v>0</v>
      </c>
      <c r="D198" s="63">
        <v>0</v>
      </c>
      <c r="E198" s="63">
        <v>0</v>
      </c>
      <c r="F198" s="63">
        <v>0</v>
      </c>
      <c r="G198" s="63">
        <v>0</v>
      </c>
      <c r="H198" s="63">
        <v>0</v>
      </c>
      <c r="I198" s="63">
        <v>0</v>
      </c>
      <c r="J198" s="63">
        <v>0</v>
      </c>
      <c r="K198" s="63">
        <v>0</v>
      </c>
      <c r="L198" s="59"/>
      <c r="M198" s="26"/>
      <c r="N198" s="26"/>
    </row>
    <row r="199" spans="1:14" ht="18" hidden="1" x14ac:dyDescent="0.35">
      <c r="A199" s="61" t="s">
        <v>61</v>
      </c>
      <c r="B199" s="63">
        <v>23.014861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59"/>
      <c r="M199" s="26"/>
      <c r="N199" s="26"/>
    </row>
    <row r="200" spans="1:14" ht="18" hidden="1" x14ac:dyDescent="0.35">
      <c r="A200" s="61" t="s">
        <v>63</v>
      </c>
      <c r="B200" s="63">
        <v>13.225735999999999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59"/>
      <c r="M200" s="26"/>
      <c r="N200" s="26"/>
    </row>
    <row r="201" spans="1:14" ht="18" hidden="1" x14ac:dyDescent="0.35">
      <c r="A201" s="61" t="s">
        <v>64</v>
      </c>
      <c r="B201" s="63">
        <v>25.191455999999999</v>
      </c>
      <c r="C201" s="63">
        <v>0</v>
      </c>
      <c r="D201" s="63">
        <v>0</v>
      </c>
      <c r="E201" s="63">
        <v>0</v>
      </c>
      <c r="F201" s="63">
        <v>0</v>
      </c>
      <c r="G201" s="63">
        <v>0</v>
      </c>
      <c r="H201" s="63">
        <v>0</v>
      </c>
      <c r="I201" s="63">
        <v>0</v>
      </c>
      <c r="J201" s="63">
        <v>0</v>
      </c>
      <c r="K201" s="63">
        <v>0</v>
      </c>
      <c r="L201" s="59"/>
      <c r="M201" s="26"/>
      <c r="N201" s="26"/>
    </row>
    <row r="202" spans="1:14" ht="18" hidden="1" x14ac:dyDescent="0.35">
      <c r="A202" s="60" t="s">
        <v>75</v>
      </c>
      <c r="B202" s="58">
        <v>100</v>
      </c>
      <c r="C202" s="58">
        <v>0</v>
      </c>
      <c r="D202" s="58">
        <v>0</v>
      </c>
      <c r="E202" s="58">
        <v>0</v>
      </c>
      <c r="F202" s="58">
        <v>0</v>
      </c>
      <c r="G202" s="58">
        <v>0</v>
      </c>
      <c r="H202" s="58">
        <v>0</v>
      </c>
      <c r="I202" s="58">
        <v>0</v>
      </c>
      <c r="J202" s="58">
        <v>0</v>
      </c>
      <c r="K202" s="58" t="s">
        <v>66</v>
      </c>
      <c r="L202" s="59"/>
      <c r="M202" s="26"/>
      <c r="N202" s="26"/>
    </row>
    <row r="203" spans="1:14" ht="18" hidden="1" x14ac:dyDescent="0.35">
      <c r="A203" s="60" t="s">
        <v>79</v>
      </c>
      <c r="B203" s="58"/>
      <c r="C203" s="58"/>
      <c r="D203" s="58"/>
      <c r="E203" s="58"/>
      <c r="F203" s="58"/>
      <c r="G203" s="58"/>
      <c r="H203" s="58">
        <v>0</v>
      </c>
      <c r="I203" s="58"/>
      <c r="J203" s="58">
        <v>0</v>
      </c>
      <c r="K203" s="58" t="s">
        <v>66</v>
      </c>
      <c r="L203" s="59"/>
      <c r="M203" s="26"/>
      <c r="N203" s="26"/>
    </row>
    <row r="204" spans="1:14" ht="18" hidden="1" x14ac:dyDescent="0.35">
      <c r="A204" s="60" t="s">
        <v>82</v>
      </c>
      <c r="B204" s="58"/>
      <c r="C204" s="58"/>
      <c r="D204" s="58"/>
      <c r="E204" s="58"/>
      <c r="F204" s="58"/>
      <c r="G204" s="58"/>
      <c r="H204" s="58">
        <v>0</v>
      </c>
      <c r="I204" s="58"/>
      <c r="J204" s="58">
        <v>0</v>
      </c>
      <c r="K204" s="58" t="s">
        <v>66</v>
      </c>
      <c r="L204" s="59"/>
      <c r="M204" s="26"/>
      <c r="N204" s="26"/>
    </row>
    <row r="205" spans="1:14" ht="18" hidden="1" x14ac:dyDescent="0.35">
      <c r="A205" s="60" t="s">
        <v>91</v>
      </c>
      <c r="B205" s="58"/>
      <c r="C205" s="58"/>
      <c r="D205" s="58"/>
      <c r="E205" s="58"/>
      <c r="F205" s="58"/>
      <c r="G205" s="58"/>
      <c r="H205" s="58">
        <v>0</v>
      </c>
      <c r="I205" s="58"/>
      <c r="J205" s="58">
        <v>0</v>
      </c>
      <c r="K205" s="58" t="s">
        <v>66</v>
      </c>
      <c r="L205" s="59"/>
      <c r="M205" s="26"/>
      <c r="N205" s="26"/>
    </row>
    <row r="206" spans="1:14" ht="18" hidden="1" x14ac:dyDescent="0.35">
      <c r="A206" s="60" t="s">
        <v>99</v>
      </c>
      <c r="B206" s="58"/>
      <c r="C206" s="58"/>
      <c r="D206" s="58"/>
      <c r="E206" s="58"/>
      <c r="F206" s="58"/>
      <c r="G206" s="58"/>
      <c r="H206" s="58">
        <v>0</v>
      </c>
      <c r="I206" s="58"/>
      <c r="J206" s="58">
        <v>0</v>
      </c>
      <c r="K206" s="58" t="s">
        <v>66</v>
      </c>
      <c r="L206" s="59"/>
      <c r="M206" s="26"/>
      <c r="N206" s="26"/>
    </row>
    <row r="207" spans="1:14" ht="18" hidden="1" x14ac:dyDescent="0.35">
      <c r="A207" s="60" t="s">
        <v>105</v>
      </c>
      <c r="B207" s="58">
        <v>100</v>
      </c>
      <c r="C207" s="58">
        <v>0</v>
      </c>
      <c r="D207" s="58">
        <v>0</v>
      </c>
      <c r="E207" s="58">
        <v>0</v>
      </c>
      <c r="F207" s="58">
        <v>0</v>
      </c>
      <c r="G207" s="58">
        <v>0</v>
      </c>
      <c r="H207" s="58">
        <v>0</v>
      </c>
      <c r="I207" s="58">
        <v>0</v>
      </c>
      <c r="J207" s="58">
        <v>0</v>
      </c>
      <c r="K207" s="58" t="s">
        <v>66</v>
      </c>
      <c r="L207" s="68"/>
      <c r="M207" s="26"/>
      <c r="N207" s="26"/>
    </row>
    <row r="208" spans="1:14" ht="18.600000000000001" hidden="1" thickBot="1" x14ac:dyDescent="0.4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</row>
    <row r="209" spans="1:14" ht="18" x14ac:dyDescent="0.35">
      <c r="A209" s="25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</row>
    <row r="210" spans="1:14" ht="15.6" customHeight="1" x14ac:dyDescent="0.35">
      <c r="A210" s="38" t="s">
        <v>3</v>
      </c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40"/>
      <c r="M210" s="26"/>
      <c r="N210" s="26"/>
    </row>
    <row r="211" spans="1:14" ht="18" x14ac:dyDescent="0.35">
      <c r="A211" s="41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3"/>
      <c r="M211" s="26"/>
      <c r="N211" s="26"/>
    </row>
    <row r="212" spans="1:14" ht="18" x14ac:dyDescent="0.35">
      <c r="A212" s="44" t="s">
        <v>41</v>
      </c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45"/>
      <c r="M212" s="26"/>
      <c r="N212" s="26"/>
    </row>
    <row r="213" spans="1:14" ht="18" x14ac:dyDescent="0.35">
      <c r="A213" s="46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8"/>
      <c r="M213" s="26"/>
      <c r="N213" s="26"/>
    </row>
    <row r="214" spans="1:14" ht="14.4" customHeight="1" x14ac:dyDescent="0.35">
      <c r="A214" s="49" t="s">
        <v>110</v>
      </c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1"/>
      <c r="M214" s="26"/>
      <c r="N214" s="26"/>
    </row>
    <row r="215" spans="1:14" ht="14.4" customHeight="1" x14ac:dyDescent="0.35">
      <c r="A215" s="52" t="s">
        <v>43</v>
      </c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4"/>
      <c r="M215" s="26"/>
      <c r="N215" s="26"/>
    </row>
    <row r="216" spans="1:14" ht="23.4" customHeight="1" x14ac:dyDescent="0.35">
      <c r="A216" s="55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7"/>
      <c r="M216" s="26"/>
      <c r="N216" s="26"/>
    </row>
    <row r="217" spans="1:14" ht="97.8" customHeight="1" x14ac:dyDescent="0.35">
      <c r="A217" s="58" t="s">
        <v>44</v>
      </c>
      <c r="B217" s="58" t="s">
        <v>45</v>
      </c>
      <c r="C217" s="58" t="s">
        <v>46</v>
      </c>
      <c r="D217" s="58" t="s">
        <v>47</v>
      </c>
      <c r="E217" s="58" t="s">
        <v>48</v>
      </c>
      <c r="F217" s="58" t="s">
        <v>49</v>
      </c>
      <c r="G217" s="58" t="s">
        <v>50</v>
      </c>
      <c r="H217" s="58" t="s">
        <v>51</v>
      </c>
      <c r="I217" s="58" t="s">
        <v>52</v>
      </c>
      <c r="J217" s="58" t="s">
        <v>53</v>
      </c>
      <c r="K217" s="58" t="s">
        <v>54</v>
      </c>
      <c r="L217" s="59"/>
      <c r="M217" s="26"/>
      <c r="N217" s="26"/>
    </row>
    <row r="218" spans="1:14" ht="26.4" customHeight="1" x14ac:dyDescent="0.35">
      <c r="A218" s="58"/>
      <c r="B218" s="58" t="s">
        <v>55</v>
      </c>
      <c r="C218" s="58" t="s">
        <v>56</v>
      </c>
      <c r="D218" s="58" t="s">
        <v>56</v>
      </c>
      <c r="E218" s="58" t="s">
        <v>56</v>
      </c>
      <c r="F218" s="58" t="s">
        <v>56</v>
      </c>
      <c r="G218" s="58" t="s">
        <v>56</v>
      </c>
      <c r="H218" s="58" t="s">
        <v>56</v>
      </c>
      <c r="I218" s="58" t="s">
        <v>56</v>
      </c>
      <c r="J218" s="58" t="s">
        <v>56</v>
      </c>
      <c r="K218" s="58" t="s">
        <v>56</v>
      </c>
      <c r="L218" s="59"/>
      <c r="M218" s="26"/>
      <c r="N218" s="26"/>
    </row>
    <row r="219" spans="1:14" ht="26.4" customHeight="1" x14ac:dyDescent="0.35">
      <c r="A219" s="60" t="s">
        <v>57</v>
      </c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59"/>
      <c r="M219" s="26"/>
      <c r="N219" s="26"/>
    </row>
    <row r="220" spans="1:14" ht="26.4" customHeight="1" x14ac:dyDescent="0.35">
      <c r="A220" s="61" t="s">
        <v>58</v>
      </c>
      <c r="B220" s="62">
        <v>10</v>
      </c>
      <c r="C220" s="63">
        <v>10824.358603000001</v>
      </c>
      <c r="D220" s="63">
        <v>49861.719569000001</v>
      </c>
      <c r="E220" s="63">
        <v>60686.078172000001</v>
      </c>
      <c r="F220" s="63">
        <v>10824.357671</v>
      </c>
      <c r="G220" s="63">
        <v>46821.909241000001</v>
      </c>
      <c r="H220" s="63">
        <v>57646.266911999999</v>
      </c>
      <c r="I220" s="63">
        <v>125673.25783700001</v>
      </c>
      <c r="J220" s="63">
        <v>118301.427665</v>
      </c>
      <c r="K220" s="63">
        <v>0</v>
      </c>
      <c r="L220" s="59"/>
      <c r="M220" s="26"/>
      <c r="N220" s="26"/>
    </row>
    <row r="221" spans="1:14" ht="26.4" customHeight="1" x14ac:dyDescent="0.35">
      <c r="A221" s="61" t="s">
        <v>111</v>
      </c>
      <c r="B221" s="62">
        <v>10.989000000000001</v>
      </c>
      <c r="C221" s="63">
        <v>12299.9877</v>
      </c>
      <c r="D221" s="63">
        <v>61646.830829999999</v>
      </c>
      <c r="E221" s="63">
        <v>73946.818526999996</v>
      </c>
      <c r="F221" s="63">
        <v>12299.9877</v>
      </c>
      <c r="G221" s="63">
        <v>61630.799590000002</v>
      </c>
      <c r="H221" s="63">
        <v>73930.787289999993</v>
      </c>
      <c r="I221" s="63">
        <v>145796.90063799999</v>
      </c>
      <c r="J221" s="63">
        <v>145765.62100599997</v>
      </c>
      <c r="K221" s="63">
        <v>0</v>
      </c>
      <c r="L221" s="59"/>
      <c r="M221" s="26"/>
      <c r="N221" s="26"/>
    </row>
    <row r="222" spans="1:14" ht="26.4" customHeight="1" x14ac:dyDescent="0.35">
      <c r="A222" s="61" t="s">
        <v>112</v>
      </c>
      <c r="B222" s="62">
        <v>2.198</v>
      </c>
      <c r="C222" s="63">
        <v>2460.0002519999998</v>
      </c>
      <c r="D222" s="63">
        <v>12335.805625000001</v>
      </c>
      <c r="E222" s="63">
        <v>14795.805879</v>
      </c>
      <c r="F222" s="63">
        <v>812.57351400000005</v>
      </c>
      <c r="G222" s="63">
        <v>3698.3296829999999</v>
      </c>
      <c r="H222" s="63">
        <v>4510.903198</v>
      </c>
      <c r="I222" s="63">
        <v>28651.372299999999</v>
      </c>
      <c r="J222" s="63">
        <v>8669.2634959999996</v>
      </c>
      <c r="K222" s="63">
        <v>15684.402958999999</v>
      </c>
      <c r="L222" s="59"/>
      <c r="M222" s="26"/>
      <c r="N222" s="26"/>
    </row>
    <row r="223" spans="1:14" ht="26.4" customHeight="1" x14ac:dyDescent="0.35">
      <c r="A223" s="61" t="s">
        <v>113</v>
      </c>
      <c r="B223" s="62">
        <v>12.087999999999999</v>
      </c>
      <c r="C223" s="63">
        <v>13530.003251</v>
      </c>
      <c r="D223" s="63">
        <v>67845.508218999996</v>
      </c>
      <c r="E223" s="63">
        <v>81375.511469999998</v>
      </c>
      <c r="F223" s="63">
        <v>9993.0282380000008</v>
      </c>
      <c r="G223" s="63">
        <v>49915.701585000003</v>
      </c>
      <c r="H223" s="63">
        <v>59908.729825000002</v>
      </c>
      <c r="I223" s="63">
        <v>159145.33516700001</v>
      </c>
      <c r="J223" s="63">
        <v>115553.32920800001</v>
      </c>
      <c r="K223" s="63">
        <v>19720.20568395</v>
      </c>
      <c r="L223" s="59"/>
      <c r="M223" s="26"/>
      <c r="N223" s="26"/>
    </row>
    <row r="224" spans="1:14" ht="26.4" customHeight="1" x14ac:dyDescent="0.35">
      <c r="A224" s="60" t="s">
        <v>75</v>
      </c>
      <c r="B224" s="58">
        <v>35.274999999999999</v>
      </c>
      <c r="C224" s="58">
        <v>39114.35</v>
      </c>
      <c r="D224" s="58">
        <v>191689.864</v>
      </c>
      <c r="E224" s="58">
        <v>230804.21400000001</v>
      </c>
      <c r="F224" s="58">
        <v>33929.947</v>
      </c>
      <c r="G224" s="58">
        <v>162066.74</v>
      </c>
      <c r="H224" s="58">
        <v>195996.68700000001</v>
      </c>
      <c r="I224" s="58">
        <f>SUM(I220:I223)</f>
        <v>459266.865942</v>
      </c>
      <c r="J224" s="58">
        <f>SUM(J220:J223)</f>
        <v>388289.64137499989</v>
      </c>
      <c r="K224" s="58" t="s">
        <v>66</v>
      </c>
      <c r="L224" s="59"/>
      <c r="M224" s="26"/>
      <c r="N224" s="26"/>
    </row>
    <row r="225" spans="1:14" ht="26.4" customHeight="1" x14ac:dyDescent="0.35">
      <c r="A225" s="60" t="s">
        <v>76</v>
      </c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59"/>
      <c r="M225" s="26"/>
      <c r="N225" s="26"/>
    </row>
    <row r="226" spans="1:14" ht="26.4" customHeight="1" x14ac:dyDescent="0.35">
      <c r="A226" s="61" t="s">
        <v>114</v>
      </c>
      <c r="B226" s="62">
        <v>6.593</v>
      </c>
      <c r="C226" s="63">
        <v>7379.5448999999999</v>
      </c>
      <c r="D226" s="63">
        <v>36991.989141999999</v>
      </c>
      <c r="E226" s="63">
        <v>44371.534041999999</v>
      </c>
      <c r="F226" s="63">
        <v>7377.6399080000001</v>
      </c>
      <c r="G226" s="63">
        <v>36840.986699000001</v>
      </c>
      <c r="H226" s="63">
        <v>44218.626605999998</v>
      </c>
      <c r="I226" s="63">
        <v>87508.873741999996</v>
      </c>
      <c r="J226" s="63">
        <v>87133.821192999996</v>
      </c>
      <c r="K226" s="63">
        <v>0</v>
      </c>
      <c r="L226" s="59"/>
      <c r="M226" s="26"/>
      <c r="N226" s="26"/>
    </row>
    <row r="227" spans="1:14" ht="26.4" customHeight="1" x14ac:dyDescent="0.35">
      <c r="A227" s="60" t="s">
        <v>79</v>
      </c>
      <c r="B227" s="58">
        <v>6.593</v>
      </c>
      <c r="C227" s="58">
        <v>7379.5450000000001</v>
      </c>
      <c r="D227" s="58">
        <v>36991.989000000001</v>
      </c>
      <c r="E227" s="58">
        <v>44371.534</v>
      </c>
      <c r="F227" s="58">
        <v>7377.64</v>
      </c>
      <c r="G227" s="58">
        <v>36840.987000000001</v>
      </c>
      <c r="H227" s="58">
        <v>44218.627</v>
      </c>
      <c r="I227" s="58">
        <v>87508.873999999996</v>
      </c>
      <c r="J227" s="58">
        <v>87133.820999999996</v>
      </c>
      <c r="K227" s="58" t="s">
        <v>66</v>
      </c>
      <c r="L227" s="59"/>
      <c r="M227" s="26"/>
      <c r="N227" s="26"/>
    </row>
    <row r="228" spans="1:14" ht="26.4" customHeight="1" x14ac:dyDescent="0.35">
      <c r="A228" s="60" t="s">
        <v>80</v>
      </c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59"/>
      <c r="M228" s="26"/>
      <c r="N228" s="26"/>
    </row>
    <row r="229" spans="1:14" ht="26.4" customHeight="1" x14ac:dyDescent="0.35">
      <c r="A229" s="61" t="s">
        <v>115</v>
      </c>
      <c r="B229" s="62">
        <v>22.966999999999999</v>
      </c>
      <c r="C229" s="63">
        <v>25706.963100000001</v>
      </c>
      <c r="D229" s="63">
        <v>128906.019638</v>
      </c>
      <c r="E229" s="63">
        <v>154612.98273799999</v>
      </c>
      <c r="F229" s="63">
        <v>25706.963100000001</v>
      </c>
      <c r="G229" s="63">
        <v>128900.442132</v>
      </c>
      <c r="H229" s="63">
        <v>154607.40523199999</v>
      </c>
      <c r="I229" s="63">
        <v>304883.76703799999</v>
      </c>
      <c r="J229" s="63">
        <v>304874.52792399999</v>
      </c>
      <c r="K229" s="63">
        <v>0</v>
      </c>
      <c r="L229" s="59"/>
      <c r="M229" s="26"/>
      <c r="N229" s="26"/>
    </row>
    <row r="230" spans="1:14" ht="26.4" customHeight="1" x14ac:dyDescent="0.35">
      <c r="A230" s="61" t="s">
        <v>116</v>
      </c>
      <c r="B230" s="62">
        <v>10.44</v>
      </c>
      <c r="C230" s="63">
        <v>11685.492</v>
      </c>
      <c r="D230" s="63">
        <v>58596.196499999998</v>
      </c>
      <c r="E230" s="63">
        <v>70281.688500000004</v>
      </c>
      <c r="F230" s="63">
        <v>14206.81026</v>
      </c>
      <c r="G230" s="63">
        <v>72230.169427999994</v>
      </c>
      <c r="H230" s="63">
        <v>86436.979686999999</v>
      </c>
      <c r="I230" s="63">
        <v>138589.56450000001</v>
      </c>
      <c r="J230" s="63">
        <v>171141.97051300001</v>
      </c>
      <c r="K230" s="63">
        <v>0</v>
      </c>
      <c r="L230" s="59"/>
      <c r="M230" s="26"/>
      <c r="N230" s="26"/>
    </row>
    <row r="231" spans="1:14" ht="26.4" customHeight="1" x14ac:dyDescent="0.35">
      <c r="A231" s="60" t="s">
        <v>82</v>
      </c>
      <c r="B231" s="58">
        <v>33.406999999999996</v>
      </c>
      <c r="C231" s="58">
        <v>37392.455000000002</v>
      </c>
      <c r="D231" s="58">
        <v>187502.21599999999</v>
      </c>
      <c r="E231" s="58">
        <v>224894.671</v>
      </c>
      <c r="F231" s="58">
        <v>39913.773000000001</v>
      </c>
      <c r="G231" s="58">
        <v>201130.61199999999</v>
      </c>
      <c r="H231" s="58">
        <v>241044.38500000001</v>
      </c>
      <c r="I231" s="58">
        <v>443473.33199999999</v>
      </c>
      <c r="J231" s="58">
        <v>476016.49800000002</v>
      </c>
      <c r="K231" s="58" t="s">
        <v>66</v>
      </c>
      <c r="L231" s="59"/>
      <c r="M231" s="26"/>
      <c r="N231" s="26"/>
    </row>
    <row r="232" spans="1:14" ht="26.4" customHeight="1" x14ac:dyDescent="0.35">
      <c r="A232" s="60" t="s">
        <v>83</v>
      </c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59"/>
      <c r="M232" s="26"/>
      <c r="N232" s="26"/>
    </row>
    <row r="233" spans="1:14" ht="26.4" customHeight="1" x14ac:dyDescent="0.35">
      <c r="A233" s="61" t="s">
        <v>84</v>
      </c>
      <c r="B233" s="62">
        <v>2.198</v>
      </c>
      <c r="C233" s="63">
        <v>2460.1134120000002</v>
      </c>
      <c r="D233" s="63">
        <v>12335.490470999999</v>
      </c>
      <c r="E233" s="63">
        <v>14795.603885</v>
      </c>
      <c r="F233" s="63">
        <v>2452.034901</v>
      </c>
      <c r="G233" s="63">
        <v>11861.393865</v>
      </c>
      <c r="H233" s="63">
        <v>14313.428765000001</v>
      </c>
      <c r="I233" s="63">
        <v>29145.153901999998</v>
      </c>
      <c r="J233" s="63">
        <v>28246.505584999999</v>
      </c>
      <c r="K233" s="63">
        <v>0</v>
      </c>
      <c r="L233" s="59"/>
      <c r="M233" s="26"/>
      <c r="N233" s="26"/>
    </row>
    <row r="234" spans="1:14" ht="26.4" customHeight="1" x14ac:dyDescent="0.35">
      <c r="A234" s="61" t="s">
        <v>85</v>
      </c>
      <c r="B234" s="62">
        <v>6.0439999999999996</v>
      </c>
      <c r="C234" s="63">
        <v>6765.0010179999999</v>
      </c>
      <c r="D234" s="63">
        <v>33922.751662000002</v>
      </c>
      <c r="E234" s="63">
        <v>40687.752678999997</v>
      </c>
      <c r="F234" s="63">
        <v>6765.0005940000001</v>
      </c>
      <c r="G234" s="63">
        <v>33866.222820000003</v>
      </c>
      <c r="H234" s="63">
        <v>40631.223409999999</v>
      </c>
      <c r="I234" s="63">
        <v>80227.694948000004</v>
      </c>
      <c r="J234" s="63">
        <v>80167.512168999994</v>
      </c>
      <c r="K234" s="63">
        <v>0</v>
      </c>
      <c r="L234" s="59"/>
      <c r="M234" s="26"/>
      <c r="N234" s="26"/>
    </row>
    <row r="235" spans="1:14" ht="26.4" customHeight="1" x14ac:dyDescent="0.35">
      <c r="A235" s="61" t="s">
        <v>87</v>
      </c>
      <c r="B235" s="62">
        <v>3.8460000000000001</v>
      </c>
      <c r="C235" s="63">
        <v>4304.8278</v>
      </c>
      <c r="D235" s="63">
        <v>21586.299975000002</v>
      </c>
      <c r="E235" s="63">
        <v>25891.127775000001</v>
      </c>
      <c r="F235" s="63">
        <v>4304.8278</v>
      </c>
      <c r="G235" s="63">
        <v>21572.241504000001</v>
      </c>
      <c r="H235" s="63">
        <v>25877.069304000001</v>
      </c>
      <c r="I235" s="63">
        <v>51055.121175</v>
      </c>
      <c r="J235" s="63">
        <v>51032.313053999998</v>
      </c>
      <c r="K235" s="63">
        <v>0</v>
      </c>
      <c r="L235" s="59"/>
      <c r="M235" s="26"/>
      <c r="N235" s="26"/>
    </row>
    <row r="236" spans="1:14" ht="26.4" customHeight="1" x14ac:dyDescent="0.35">
      <c r="A236" s="61" t="s">
        <v>88</v>
      </c>
      <c r="B236" s="62">
        <v>1.099</v>
      </c>
      <c r="C236" s="63">
        <v>1230.1107</v>
      </c>
      <c r="D236" s="63">
        <v>6168.3160879999996</v>
      </c>
      <c r="E236" s="63">
        <v>7398.4267879999998</v>
      </c>
      <c r="F236" s="63">
        <v>1230.1107</v>
      </c>
      <c r="G236" s="63">
        <v>6168.0491970000003</v>
      </c>
      <c r="H236" s="63">
        <v>7398.1598969999995</v>
      </c>
      <c r="I236" s="63">
        <v>14589.073888000001</v>
      </c>
      <c r="J236" s="63">
        <v>14588.631785</v>
      </c>
      <c r="K236" s="63">
        <v>0</v>
      </c>
      <c r="L236" s="59"/>
      <c r="M236" s="26"/>
      <c r="N236" s="26"/>
    </row>
    <row r="237" spans="1:14" ht="26.4" customHeight="1" x14ac:dyDescent="0.35">
      <c r="A237" s="61" t="s">
        <v>117</v>
      </c>
      <c r="B237" s="62">
        <v>2.7469999999999999</v>
      </c>
      <c r="C237" s="63">
        <v>3074.7170999999998</v>
      </c>
      <c r="D237" s="63">
        <v>15417.983888000001</v>
      </c>
      <c r="E237" s="63">
        <v>18492.700988000001</v>
      </c>
      <c r="F237" s="63">
        <v>3074.7170999999998</v>
      </c>
      <c r="G237" s="63">
        <v>15246.841743999999</v>
      </c>
      <c r="H237" s="63">
        <v>18321.558843999999</v>
      </c>
      <c r="I237" s="63">
        <v>36466.047288000002</v>
      </c>
      <c r="J237" s="63">
        <v>36172.749206</v>
      </c>
      <c r="K237" s="63">
        <v>0</v>
      </c>
      <c r="L237" s="59"/>
      <c r="M237" s="26"/>
      <c r="N237" s="26"/>
    </row>
    <row r="238" spans="1:14" ht="26.4" customHeight="1" x14ac:dyDescent="0.35">
      <c r="A238" s="61" t="s">
        <v>89</v>
      </c>
      <c r="B238" s="62">
        <v>8.2420000000000009</v>
      </c>
      <c r="C238" s="63">
        <v>9225.2705999999998</v>
      </c>
      <c r="D238" s="63">
        <v>46259.564324999999</v>
      </c>
      <c r="E238" s="63">
        <v>55484.834925000003</v>
      </c>
      <c r="F238" s="63">
        <v>11553.889154</v>
      </c>
      <c r="G238" s="63">
        <v>59684.752801000002</v>
      </c>
      <c r="H238" s="63">
        <v>71238.641956000007</v>
      </c>
      <c r="I238" s="63">
        <v>109411.416725</v>
      </c>
      <c r="J238" s="63">
        <v>141512.964844</v>
      </c>
      <c r="K238" s="63">
        <v>0</v>
      </c>
      <c r="L238" s="59"/>
      <c r="M238" s="26"/>
      <c r="N238" s="26"/>
    </row>
    <row r="239" spans="1:14" ht="26.4" customHeight="1" x14ac:dyDescent="0.35">
      <c r="A239" s="60" t="s">
        <v>91</v>
      </c>
      <c r="B239" s="58">
        <v>24.175999999999998</v>
      </c>
      <c r="C239" s="58">
        <v>27060.041000000001</v>
      </c>
      <c r="D239" s="58">
        <v>135690.40599999999</v>
      </c>
      <c r="E239" s="58">
        <v>162750.44699999999</v>
      </c>
      <c r="F239" s="58">
        <v>29380.58</v>
      </c>
      <c r="G239" s="58">
        <v>148399.50200000001</v>
      </c>
      <c r="H239" s="58">
        <v>177780.08199999999</v>
      </c>
      <c r="I239" s="58">
        <v>320894.50799999997</v>
      </c>
      <c r="J239" s="58">
        <v>351720.67700000003</v>
      </c>
      <c r="K239" s="58" t="s">
        <v>66</v>
      </c>
      <c r="L239" s="59"/>
      <c r="M239" s="26"/>
      <c r="N239" s="26"/>
    </row>
    <row r="240" spans="1:14" ht="26.4" customHeight="1" x14ac:dyDescent="0.35">
      <c r="A240" s="60" t="s">
        <v>92</v>
      </c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59"/>
      <c r="M240" s="26"/>
      <c r="N240" s="26"/>
    </row>
    <row r="241" spans="1:14" ht="26.4" customHeight="1" x14ac:dyDescent="0.35">
      <c r="A241" s="64" t="s">
        <v>97</v>
      </c>
      <c r="B241" s="62">
        <v>0.54900000000000004</v>
      </c>
      <c r="C241" s="63">
        <v>5.2852550000000003</v>
      </c>
      <c r="D241" s="63">
        <v>799.63123199999995</v>
      </c>
      <c r="E241" s="63">
        <v>804.91648999999995</v>
      </c>
      <c r="F241" s="63">
        <v>0</v>
      </c>
      <c r="G241" s="63">
        <v>0.18163299999999999</v>
      </c>
      <c r="H241" s="63">
        <v>0.18163299999999999</v>
      </c>
      <c r="I241" s="63">
        <v>2482.432452</v>
      </c>
      <c r="J241" s="63">
        <v>0.18163299999999999</v>
      </c>
      <c r="K241" s="63">
        <v>2109.8859511999999</v>
      </c>
      <c r="L241" s="59"/>
      <c r="M241" s="26"/>
      <c r="N241" s="26"/>
    </row>
    <row r="242" spans="1:14" ht="26.4" customHeight="1" x14ac:dyDescent="0.35">
      <c r="A242" s="60" t="s">
        <v>99</v>
      </c>
      <c r="B242" s="58">
        <v>0.54900000000000004</v>
      </c>
      <c r="C242" s="58">
        <v>5.2850000000000001</v>
      </c>
      <c r="D242" s="58">
        <v>799.63099999999997</v>
      </c>
      <c r="E242" s="58">
        <v>804.91600000000005</v>
      </c>
      <c r="F242" s="58">
        <v>0</v>
      </c>
      <c r="G242" s="58">
        <v>0.182</v>
      </c>
      <c r="H242" s="58">
        <v>0.182</v>
      </c>
      <c r="I242" s="58">
        <v>2482.4319999999998</v>
      </c>
      <c r="J242" s="58">
        <v>0.182</v>
      </c>
      <c r="K242" s="58" t="s">
        <v>66</v>
      </c>
      <c r="L242" s="59"/>
      <c r="M242" s="26"/>
      <c r="N242" s="26"/>
    </row>
    <row r="243" spans="1:14" ht="26.4" customHeight="1" x14ac:dyDescent="0.3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59"/>
      <c r="M243" s="26"/>
      <c r="N243" s="26"/>
    </row>
    <row r="244" spans="1:14" ht="26.4" customHeight="1" x14ac:dyDescent="0.35">
      <c r="A244" s="61" t="s">
        <v>101</v>
      </c>
      <c r="B244" s="63"/>
      <c r="C244" s="63"/>
      <c r="D244" s="63"/>
      <c r="E244" s="63"/>
      <c r="F244" s="63">
        <v>0</v>
      </c>
      <c r="G244" s="63">
        <v>-5262.29</v>
      </c>
      <c r="H244" s="63">
        <f>F244+G244</f>
        <v>-5262.29</v>
      </c>
      <c r="I244" s="63"/>
      <c r="J244" s="63">
        <v>-9432.1825000000008</v>
      </c>
      <c r="K244" s="63"/>
      <c r="L244" s="59"/>
      <c r="M244" s="26"/>
      <c r="N244" s="26"/>
    </row>
    <row r="245" spans="1:14" ht="26.4" customHeight="1" x14ac:dyDescent="0.35">
      <c r="A245" s="61" t="s">
        <v>102</v>
      </c>
      <c r="B245" s="63"/>
      <c r="C245" s="63"/>
      <c r="D245" s="63"/>
      <c r="E245" s="63"/>
      <c r="F245" s="63">
        <v>343.09750000000003</v>
      </c>
      <c r="G245" s="63">
        <v>2986.2525000000001</v>
      </c>
      <c r="H245" s="63">
        <f t="shared" ref="H245:H247" si="16">F245+G245</f>
        <v>3329.35</v>
      </c>
      <c r="I245" s="63"/>
      <c r="J245" s="63">
        <v>7239.4375</v>
      </c>
      <c r="K245" s="63"/>
      <c r="L245" s="59"/>
      <c r="M245" s="26"/>
      <c r="N245" s="26"/>
    </row>
    <row r="246" spans="1:14" ht="26.4" customHeight="1" x14ac:dyDescent="0.35">
      <c r="A246" s="61" t="s">
        <v>103</v>
      </c>
      <c r="B246" s="63"/>
      <c r="C246" s="63"/>
      <c r="D246" s="63"/>
      <c r="E246" s="63"/>
      <c r="F246" s="63">
        <v>-55.85</v>
      </c>
      <c r="G246" s="63">
        <f>-37138.5525-9055.54750000001</f>
        <v>-46194.100000000006</v>
      </c>
      <c r="H246" s="63">
        <f t="shared" si="16"/>
        <v>-46249.950000000004</v>
      </c>
      <c r="I246" s="63"/>
      <c r="J246" s="63">
        <v>-64236.172500000001</v>
      </c>
      <c r="K246" s="63"/>
      <c r="L246" s="59"/>
      <c r="M246" s="26"/>
      <c r="N246" s="26"/>
    </row>
    <row r="247" spans="1:14" ht="26.4" customHeight="1" x14ac:dyDescent="0.35">
      <c r="A247" s="61" t="s">
        <v>104</v>
      </c>
      <c r="B247" s="63"/>
      <c r="C247" s="63"/>
      <c r="D247" s="63"/>
      <c r="E247" s="63"/>
      <c r="F247" s="63">
        <v>0</v>
      </c>
      <c r="G247" s="63">
        <v>22.04</v>
      </c>
      <c r="H247" s="63">
        <f t="shared" si="16"/>
        <v>22.04</v>
      </c>
      <c r="I247" s="63"/>
      <c r="J247" s="63">
        <v>22.065000000000001</v>
      </c>
      <c r="K247" s="63"/>
      <c r="L247" s="59"/>
      <c r="M247" s="26"/>
      <c r="N247" s="26"/>
    </row>
    <row r="248" spans="1:14" ht="26.4" customHeight="1" x14ac:dyDescent="0.35">
      <c r="A248" s="60" t="s">
        <v>105</v>
      </c>
      <c r="B248" s="58">
        <v>100</v>
      </c>
      <c r="C248" s="58">
        <v>110951.67600000001</v>
      </c>
      <c r="D248" s="58">
        <v>552674.10699999996</v>
      </c>
      <c r="E248" s="58">
        <v>663625.78300000005</v>
      </c>
      <c r="F248" s="58">
        <f t="shared" ref="F248:G248" si="17">F224+F227+F231+F239+F242+F244+F245+F246+F247</f>
        <v>110889.1875</v>
      </c>
      <c r="G248" s="58">
        <f t="shared" si="17"/>
        <v>499989.92549999995</v>
      </c>
      <c r="H248" s="58">
        <f>H224+H227+H231+H239+H242+H244+H245+H246+H247</f>
        <v>610879.11300000001</v>
      </c>
      <c r="I248" s="58">
        <f>I224+I227+I231+I239+I242</f>
        <v>1313626.0119419999</v>
      </c>
      <c r="J248" s="58">
        <f>J224+J227+J231+J239+J242+J244+J245+J246+J247</f>
        <v>1236753.9668749997</v>
      </c>
      <c r="K248" s="58" t="s">
        <v>66</v>
      </c>
      <c r="L248" s="68"/>
      <c r="M248" s="26"/>
      <c r="N248" s="26"/>
    </row>
    <row r="249" spans="1:14" ht="18.600000000000001" thickBot="1" x14ac:dyDescent="0.4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</row>
    <row r="250" spans="1:14" ht="18" x14ac:dyDescent="0.35">
      <c r="A250" s="25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</row>
    <row r="251" spans="1:14" ht="15.6" customHeight="1" x14ac:dyDescent="0.35">
      <c r="A251" s="38" t="s">
        <v>3</v>
      </c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40"/>
      <c r="M251" s="26"/>
      <c r="N251" s="26"/>
    </row>
    <row r="252" spans="1:14" ht="18" x14ac:dyDescent="0.35">
      <c r="A252" s="41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3"/>
      <c r="M252" s="26"/>
      <c r="N252" s="26"/>
    </row>
    <row r="253" spans="1:14" ht="18" x14ac:dyDescent="0.35">
      <c r="A253" s="44" t="s">
        <v>41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45"/>
      <c r="M253" s="26"/>
      <c r="N253" s="26"/>
    </row>
    <row r="254" spans="1:14" ht="29.4" customHeight="1" x14ac:dyDescent="0.35">
      <c r="A254" s="46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8"/>
      <c r="M254" s="26"/>
      <c r="N254" s="26"/>
    </row>
    <row r="255" spans="1:14" ht="14.4" customHeight="1" x14ac:dyDescent="0.35">
      <c r="A255" s="49" t="s">
        <v>118</v>
      </c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1"/>
      <c r="M255" s="26"/>
      <c r="N255" s="26"/>
    </row>
    <row r="256" spans="1:14" ht="14.4" customHeight="1" x14ac:dyDescent="0.35">
      <c r="A256" s="52" t="s">
        <v>43</v>
      </c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4"/>
      <c r="M256" s="26"/>
      <c r="N256" s="26"/>
    </row>
    <row r="257" spans="1:14" ht="17.399999999999999" customHeight="1" x14ac:dyDescent="0.35">
      <c r="A257" s="55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7"/>
      <c r="M257" s="26"/>
      <c r="N257" s="26"/>
    </row>
    <row r="258" spans="1:14" ht="96.6" customHeight="1" x14ac:dyDescent="0.35">
      <c r="A258" s="58" t="s">
        <v>44</v>
      </c>
      <c r="B258" s="58" t="s">
        <v>45</v>
      </c>
      <c r="C258" s="58" t="s">
        <v>46</v>
      </c>
      <c r="D258" s="58" t="s">
        <v>47</v>
      </c>
      <c r="E258" s="58" t="s">
        <v>48</v>
      </c>
      <c r="F258" s="58" t="s">
        <v>49</v>
      </c>
      <c r="G258" s="58" t="s">
        <v>50</v>
      </c>
      <c r="H258" s="58" t="s">
        <v>51</v>
      </c>
      <c r="I258" s="58" t="s">
        <v>52</v>
      </c>
      <c r="J258" s="58" t="s">
        <v>53</v>
      </c>
      <c r="K258" s="58" t="s">
        <v>54</v>
      </c>
      <c r="L258" s="59"/>
      <c r="M258" s="26"/>
      <c r="N258" s="26"/>
    </row>
    <row r="259" spans="1:14" ht="25.2" customHeight="1" x14ac:dyDescent="0.35">
      <c r="A259" s="58"/>
      <c r="B259" s="58" t="s">
        <v>55</v>
      </c>
      <c r="C259" s="58" t="s">
        <v>56</v>
      </c>
      <c r="D259" s="58" t="s">
        <v>56</v>
      </c>
      <c r="E259" s="58" t="s">
        <v>56</v>
      </c>
      <c r="F259" s="58" t="s">
        <v>56</v>
      </c>
      <c r="G259" s="58" t="s">
        <v>56</v>
      </c>
      <c r="H259" s="58" t="s">
        <v>56</v>
      </c>
      <c r="I259" s="58" t="s">
        <v>56</v>
      </c>
      <c r="J259" s="58" t="s">
        <v>56</v>
      </c>
      <c r="K259" s="58" t="s">
        <v>56</v>
      </c>
      <c r="L259" s="59"/>
      <c r="M259" s="26"/>
      <c r="N259" s="26"/>
    </row>
    <row r="260" spans="1:14" ht="25.2" customHeight="1" x14ac:dyDescent="0.35">
      <c r="A260" s="60" t="s">
        <v>57</v>
      </c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59"/>
      <c r="M260" s="26"/>
      <c r="N260" s="26"/>
    </row>
    <row r="261" spans="1:14" ht="25.2" customHeight="1" x14ac:dyDescent="0.35">
      <c r="A261" s="61" t="s">
        <v>58</v>
      </c>
      <c r="B261" s="62">
        <v>66.380775999999997</v>
      </c>
      <c r="C261" s="63">
        <f>80941.003851+1600</f>
        <v>82541.003851000001</v>
      </c>
      <c r="D261" s="63">
        <f>411145.148902+800</f>
        <v>411945.14890199999</v>
      </c>
      <c r="E261" s="63">
        <f>C261+D261</f>
        <v>494486.15275299997</v>
      </c>
      <c r="F261" s="63">
        <f>79607.410924+1600</f>
        <v>81207.410923999996</v>
      </c>
      <c r="G261" s="63">
        <f>351532.590902+800</f>
        <v>352332.59090200003</v>
      </c>
      <c r="H261" s="63">
        <f>F261+G261</f>
        <v>433540.00182600005</v>
      </c>
      <c r="I261" s="63">
        <v>979974.71206199995</v>
      </c>
      <c r="J261" s="63">
        <v>838913.82440000004</v>
      </c>
      <c r="K261" s="63">
        <v>0</v>
      </c>
      <c r="L261" s="59"/>
      <c r="M261" s="26"/>
      <c r="N261" s="26"/>
    </row>
    <row r="262" spans="1:14" ht="25.2" customHeight="1" x14ac:dyDescent="0.35">
      <c r="A262" s="61" t="s">
        <v>60</v>
      </c>
      <c r="B262" s="62">
        <v>6.4706169999999998</v>
      </c>
      <c r="C262" s="63">
        <v>8071.6113150000001</v>
      </c>
      <c r="D262" s="63">
        <v>40603.509526000002</v>
      </c>
      <c r="E262" s="63">
        <f t="shared" ref="E262:E265" si="18">C262+D262</f>
        <v>48675.120841000004</v>
      </c>
      <c r="F262" s="63">
        <v>8067.1130499999999</v>
      </c>
      <c r="G262" s="63">
        <v>39582.167696999997</v>
      </c>
      <c r="H262" s="63">
        <f t="shared" ref="H262:H265" si="19">F262+G262</f>
        <v>47649.280746999997</v>
      </c>
      <c r="I262" s="63">
        <v>96974.320054000011</v>
      </c>
      <c r="J262" s="63">
        <v>96051.410593999986</v>
      </c>
      <c r="K262" s="63">
        <v>0</v>
      </c>
      <c r="L262" s="59"/>
      <c r="M262" s="26"/>
      <c r="N262" s="26"/>
    </row>
    <row r="263" spans="1:14" ht="25.2" customHeight="1" x14ac:dyDescent="0.35">
      <c r="A263" s="61" t="s">
        <v>61</v>
      </c>
      <c r="B263" s="62">
        <v>12.678774000000001</v>
      </c>
      <c r="C263" s="63">
        <v>15796.155828999999</v>
      </c>
      <c r="D263" s="63">
        <v>79656.593305000002</v>
      </c>
      <c r="E263" s="63">
        <f t="shared" si="18"/>
        <v>95452.749133999998</v>
      </c>
      <c r="F263" s="63">
        <v>15755.118203</v>
      </c>
      <c r="G263" s="63">
        <v>66741.470782000004</v>
      </c>
      <c r="H263" s="63">
        <f t="shared" si="19"/>
        <v>82496.588985000009</v>
      </c>
      <c r="I263" s="63">
        <v>185245.498769</v>
      </c>
      <c r="J263" s="63">
        <v>156611.60671300002</v>
      </c>
      <c r="K263" s="63">
        <v>847.06724079998003</v>
      </c>
      <c r="L263" s="59"/>
      <c r="M263" s="26"/>
      <c r="N263" s="26"/>
    </row>
    <row r="264" spans="1:14" ht="25.2" customHeight="1" x14ac:dyDescent="0.35">
      <c r="A264" s="61" t="s">
        <v>63</v>
      </c>
      <c r="B264" s="62">
        <v>0.99129900000000004</v>
      </c>
      <c r="C264" s="63">
        <v>1236.314617</v>
      </c>
      <c r="D264" s="63">
        <v>6219.9595410000002</v>
      </c>
      <c r="E264" s="63">
        <f t="shared" si="18"/>
        <v>7456.2741580000002</v>
      </c>
      <c r="F264" s="63">
        <v>1231.8077330000001</v>
      </c>
      <c r="G264" s="63">
        <v>6169.2483270000002</v>
      </c>
      <c r="H264" s="63">
        <f t="shared" si="19"/>
        <v>7401.0560600000008</v>
      </c>
      <c r="I264" s="63">
        <v>14565.793002</v>
      </c>
      <c r="J264" s="63">
        <v>13756.256497000002</v>
      </c>
      <c r="K264" s="63">
        <v>0</v>
      </c>
      <c r="L264" s="59"/>
      <c r="M264" s="26"/>
      <c r="N264" s="26"/>
    </row>
    <row r="265" spans="1:14" ht="25.2" customHeight="1" x14ac:dyDescent="0.35">
      <c r="A265" s="61" t="s">
        <v>64</v>
      </c>
      <c r="B265" s="62">
        <v>1.061034</v>
      </c>
      <c r="C265" s="63">
        <v>1324.761283</v>
      </c>
      <c r="D265" s="63">
        <v>6661.2866700000004</v>
      </c>
      <c r="E265" s="63">
        <f t="shared" si="18"/>
        <v>7986.0479530000002</v>
      </c>
      <c r="F265" s="63">
        <v>1247.8967170000001</v>
      </c>
      <c r="G265" s="63">
        <v>5057.7905920000003</v>
      </c>
      <c r="H265" s="63">
        <f t="shared" si="19"/>
        <v>6305.6873090000008</v>
      </c>
      <c r="I265" s="63">
        <v>16196.668812</v>
      </c>
      <c r="J265" s="63">
        <v>13744.877839000001</v>
      </c>
      <c r="K265" s="63">
        <v>22.290646500000001</v>
      </c>
      <c r="L265" s="59"/>
      <c r="M265" s="26"/>
      <c r="N265" s="26"/>
    </row>
    <row r="266" spans="1:14" ht="25.2" customHeight="1" x14ac:dyDescent="0.35">
      <c r="A266" s="60" t="s">
        <v>75</v>
      </c>
      <c r="B266" s="58">
        <v>87.582499999999996</v>
      </c>
      <c r="C266" s="58">
        <f>SUM(C261:C265)</f>
        <v>108969.846895</v>
      </c>
      <c r="D266" s="58">
        <f t="shared" ref="D266:H266" si="20">SUM(D261:D265)</f>
        <v>545086.49794399994</v>
      </c>
      <c r="E266" s="58">
        <f t="shared" si="20"/>
        <v>654056.34483900003</v>
      </c>
      <c r="F266" s="58">
        <f t="shared" si="20"/>
        <v>107509.34662699999</v>
      </c>
      <c r="G266" s="58">
        <f t="shared" si="20"/>
        <v>469883.26830000005</v>
      </c>
      <c r="H266" s="58">
        <f t="shared" si="20"/>
        <v>577392.61492700013</v>
      </c>
      <c r="I266" s="58">
        <f>SUM(I261:I265)</f>
        <v>1292956.9926990001</v>
      </c>
      <c r="J266" s="58">
        <f>SUM(J261:J265)</f>
        <v>1119077.9760430001</v>
      </c>
      <c r="K266" s="58" t="s">
        <v>66</v>
      </c>
      <c r="L266" s="59"/>
      <c r="M266" s="26"/>
      <c r="N266" s="26"/>
    </row>
    <row r="267" spans="1:14" ht="25.2" customHeight="1" x14ac:dyDescent="0.35">
      <c r="A267" s="60" t="s">
        <v>76</v>
      </c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59"/>
      <c r="M267" s="26"/>
      <c r="N267" s="26"/>
    </row>
    <row r="268" spans="1:14" ht="25.2" customHeight="1" x14ac:dyDescent="0.35">
      <c r="A268" s="61" t="s">
        <v>77</v>
      </c>
      <c r="B268" s="62">
        <v>0</v>
      </c>
      <c r="C268" s="63">
        <v>0</v>
      </c>
      <c r="D268" s="63">
        <v>0</v>
      </c>
      <c r="E268" s="63">
        <v>0</v>
      </c>
      <c r="F268" s="63">
        <v>0</v>
      </c>
      <c r="G268" s="63">
        <v>0</v>
      </c>
      <c r="H268" s="63">
        <v>0</v>
      </c>
      <c r="I268" s="63">
        <v>0</v>
      </c>
      <c r="J268" s="63">
        <v>0</v>
      </c>
      <c r="K268" s="63">
        <v>0</v>
      </c>
      <c r="L268" s="59"/>
      <c r="M268" s="26"/>
      <c r="N268" s="26"/>
    </row>
    <row r="269" spans="1:14" ht="25.2" customHeight="1" x14ac:dyDescent="0.35">
      <c r="A269" s="60" t="s">
        <v>79</v>
      </c>
      <c r="B269" s="58"/>
      <c r="C269" s="58">
        <v>0</v>
      </c>
      <c r="D269" s="58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8" t="s">
        <v>66</v>
      </c>
      <c r="L269" s="59"/>
      <c r="M269" s="26"/>
      <c r="N269" s="26"/>
    </row>
    <row r="270" spans="1:14" ht="25.2" customHeight="1" x14ac:dyDescent="0.35">
      <c r="A270" s="60" t="s">
        <v>80</v>
      </c>
      <c r="B270" s="62"/>
      <c r="C270" s="34"/>
      <c r="D270" s="34"/>
      <c r="E270" s="34"/>
      <c r="F270" s="34"/>
      <c r="G270" s="34"/>
      <c r="H270" s="34"/>
      <c r="I270" s="34"/>
      <c r="J270" s="34"/>
      <c r="K270" s="34"/>
      <c r="L270" s="59"/>
      <c r="M270" s="26"/>
      <c r="N270" s="26"/>
    </row>
    <row r="271" spans="1:14" ht="25.2" customHeight="1" x14ac:dyDescent="0.35">
      <c r="A271" s="61" t="s">
        <v>81</v>
      </c>
      <c r="B271" s="62">
        <v>12.4175</v>
      </c>
      <c r="C271" s="63">
        <v>15486.128106</v>
      </c>
      <c r="D271" s="63">
        <v>77910.711865999998</v>
      </c>
      <c r="E271" s="63">
        <v>93396.839972000002</v>
      </c>
      <c r="F271" s="63">
        <v>15413.793147</v>
      </c>
      <c r="G271" s="63">
        <v>74485.993235000002</v>
      </c>
      <c r="H271" s="63">
        <v>89899.786382000006</v>
      </c>
      <c r="I271" s="63">
        <v>185171.72619099999</v>
      </c>
      <c r="J271" s="63">
        <v>181402.90977900001</v>
      </c>
      <c r="K271" s="63">
        <v>0</v>
      </c>
      <c r="L271" s="59"/>
      <c r="M271" s="26"/>
      <c r="N271" s="26"/>
    </row>
    <row r="272" spans="1:14" ht="25.2" customHeight="1" x14ac:dyDescent="0.35">
      <c r="A272" s="60" t="s">
        <v>82</v>
      </c>
      <c r="B272" s="58">
        <v>12.4175</v>
      </c>
      <c r="C272" s="58">
        <v>15486.128000000001</v>
      </c>
      <c r="D272" s="58">
        <v>77910.712</v>
      </c>
      <c r="E272" s="58">
        <v>93396.84</v>
      </c>
      <c r="F272" s="58">
        <v>15413.793</v>
      </c>
      <c r="G272" s="58">
        <v>74485.993000000002</v>
      </c>
      <c r="H272" s="58">
        <v>89899.785999999993</v>
      </c>
      <c r="I272" s="58">
        <v>185171.726</v>
      </c>
      <c r="J272" s="58">
        <v>181402.91</v>
      </c>
      <c r="K272" s="58" t="s">
        <v>66</v>
      </c>
      <c r="L272" s="59"/>
      <c r="M272" s="26"/>
      <c r="N272" s="26"/>
    </row>
    <row r="273" spans="1:14" ht="25.2" customHeight="1" x14ac:dyDescent="0.35">
      <c r="A273" s="60" t="s">
        <v>83</v>
      </c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59"/>
      <c r="M273" s="26"/>
      <c r="N273" s="26"/>
    </row>
    <row r="274" spans="1:14" ht="25.2" customHeight="1" x14ac:dyDescent="0.35">
      <c r="A274" s="61" t="s">
        <v>90</v>
      </c>
      <c r="B274" s="62">
        <v>0</v>
      </c>
      <c r="C274" s="63">
        <v>0</v>
      </c>
      <c r="D274" s="63">
        <v>0</v>
      </c>
      <c r="E274" s="63">
        <v>0</v>
      </c>
      <c r="F274" s="63">
        <v>0</v>
      </c>
      <c r="G274" s="63">
        <v>0</v>
      </c>
      <c r="H274" s="63">
        <v>0</v>
      </c>
      <c r="I274" s="63">
        <v>0</v>
      </c>
      <c r="J274" s="63">
        <v>0</v>
      </c>
      <c r="K274" s="63">
        <v>0</v>
      </c>
      <c r="L274" s="59"/>
      <c r="M274" s="26"/>
      <c r="N274" s="26"/>
    </row>
    <row r="275" spans="1:14" ht="25.2" customHeight="1" x14ac:dyDescent="0.35">
      <c r="A275" s="60" t="s">
        <v>91</v>
      </c>
      <c r="B275" s="58"/>
      <c r="C275" s="58">
        <v>0</v>
      </c>
      <c r="D275" s="58">
        <v>0</v>
      </c>
      <c r="E275" s="58">
        <v>0</v>
      </c>
      <c r="F275" s="58">
        <v>0</v>
      </c>
      <c r="G275" s="58">
        <v>0</v>
      </c>
      <c r="H275" s="58">
        <v>0</v>
      </c>
      <c r="I275" s="58">
        <v>0</v>
      </c>
      <c r="J275" s="58">
        <v>0</v>
      </c>
      <c r="K275" s="58" t="s">
        <v>66</v>
      </c>
      <c r="L275" s="59"/>
      <c r="M275" s="26"/>
      <c r="N275" s="26"/>
    </row>
    <row r="276" spans="1:14" ht="25.2" customHeight="1" x14ac:dyDescent="0.35">
      <c r="A276" s="60" t="s">
        <v>99</v>
      </c>
      <c r="B276" s="58"/>
      <c r="C276" s="58"/>
      <c r="D276" s="58"/>
      <c r="E276" s="58"/>
      <c r="F276" s="58"/>
      <c r="G276" s="58"/>
      <c r="H276" s="58">
        <v>0</v>
      </c>
      <c r="I276" s="58"/>
      <c r="J276" s="58">
        <v>0</v>
      </c>
      <c r="K276" s="58" t="s">
        <v>66</v>
      </c>
      <c r="L276" s="59"/>
      <c r="M276" s="26"/>
      <c r="N276" s="26"/>
    </row>
    <row r="277" spans="1:14" ht="25.2" customHeight="1" x14ac:dyDescent="0.35">
      <c r="A277" s="34"/>
      <c r="B277" s="62"/>
      <c r="C277" s="34"/>
      <c r="D277" s="34"/>
      <c r="E277" s="34"/>
      <c r="F277" s="34"/>
      <c r="G277" s="34"/>
      <c r="H277" s="34"/>
      <c r="I277" s="34"/>
      <c r="J277" s="34"/>
      <c r="K277" s="34"/>
      <c r="L277" s="59"/>
      <c r="M277" s="26"/>
      <c r="N277" s="26"/>
    </row>
    <row r="278" spans="1:14" ht="25.2" customHeight="1" x14ac:dyDescent="0.35">
      <c r="A278" s="61" t="s">
        <v>101</v>
      </c>
      <c r="B278" s="62"/>
      <c r="C278" s="63"/>
      <c r="D278" s="63"/>
      <c r="E278" s="63"/>
      <c r="F278" s="63">
        <v>0</v>
      </c>
      <c r="G278" s="63">
        <v>-2793.9924999999998</v>
      </c>
      <c r="H278" s="63">
        <f>F278+G278</f>
        <v>-2793.9924999999998</v>
      </c>
      <c r="I278" s="63"/>
      <c r="J278" s="63">
        <v>-6834.2087499999998</v>
      </c>
      <c r="K278" s="63"/>
      <c r="L278" s="59"/>
      <c r="M278" s="26"/>
      <c r="N278" s="26"/>
    </row>
    <row r="279" spans="1:14" ht="25.2" customHeight="1" x14ac:dyDescent="0.35">
      <c r="A279" s="61" t="s">
        <v>102</v>
      </c>
      <c r="B279" s="62"/>
      <c r="C279" s="63"/>
      <c r="D279" s="63"/>
      <c r="E279" s="63"/>
      <c r="F279" s="63">
        <v>1276.7774999999999</v>
      </c>
      <c r="G279" s="63">
        <v>31943.592499999999</v>
      </c>
      <c r="H279" s="63">
        <f t="shared" ref="H279:H281" si="21">F279+G279</f>
        <v>33220.369999999995</v>
      </c>
      <c r="I279" s="63"/>
      <c r="J279" s="63">
        <v>92270.542633999998</v>
      </c>
      <c r="K279" s="63"/>
      <c r="L279" s="59"/>
      <c r="M279" s="26"/>
      <c r="N279" s="26"/>
    </row>
    <row r="280" spans="1:14" ht="25.2" customHeight="1" x14ac:dyDescent="0.35">
      <c r="A280" s="61" t="s">
        <v>103</v>
      </c>
      <c r="B280" s="62"/>
      <c r="C280" s="63"/>
      <c r="D280" s="63"/>
      <c r="E280" s="63"/>
      <c r="F280" s="63">
        <v>-1479.1925000000001</v>
      </c>
      <c r="G280" s="63">
        <f>-38335.4675-12176.98</f>
        <v>-50512.447499999995</v>
      </c>
      <c r="H280" s="63">
        <f t="shared" si="21"/>
        <v>-51991.639999999992</v>
      </c>
      <c r="I280" s="63"/>
      <c r="J280" s="63">
        <v>-80147.259999999995</v>
      </c>
      <c r="K280" s="63"/>
      <c r="L280" s="59"/>
      <c r="M280" s="26"/>
      <c r="N280" s="26"/>
    </row>
    <row r="281" spans="1:14" ht="25.2" customHeight="1" x14ac:dyDescent="0.35">
      <c r="A281" s="61" t="s">
        <v>104</v>
      </c>
      <c r="B281" s="62"/>
      <c r="C281" s="63"/>
      <c r="D281" s="63"/>
      <c r="E281" s="63"/>
      <c r="F281" s="63">
        <v>0</v>
      </c>
      <c r="G281" s="63">
        <f>269.8075+2.25</f>
        <v>272.0575</v>
      </c>
      <c r="H281" s="63">
        <f t="shared" si="21"/>
        <v>272.0575</v>
      </c>
      <c r="I281" s="63"/>
      <c r="J281" s="63">
        <v>1304.7774999999999</v>
      </c>
      <c r="K281" s="63"/>
      <c r="L281" s="59"/>
      <c r="M281" s="26"/>
      <c r="N281" s="26"/>
    </row>
    <row r="282" spans="1:14" ht="25.2" customHeight="1" x14ac:dyDescent="0.35">
      <c r="A282" s="60" t="s">
        <v>105</v>
      </c>
      <c r="B282" s="58">
        <v>100</v>
      </c>
      <c r="C282" s="58">
        <f>C266+C269+C272+C275</f>
        <v>124455.97489499999</v>
      </c>
      <c r="D282" s="58">
        <f t="shared" ref="D282:E282" si="22">D266+D269+D272+D275</f>
        <v>622997.209944</v>
      </c>
      <c r="E282" s="58">
        <f t="shared" si="22"/>
        <v>747453.18483899999</v>
      </c>
      <c r="F282" s="58">
        <f>F266+F269+F272+F275+F278+F279+F280+F281</f>
        <v>122720.72462699999</v>
      </c>
      <c r="G282" s="58">
        <f t="shared" ref="G282:H282" si="23">G266+G269+G272+G275+G278+G279+G280+G281</f>
        <v>523278.47129999998</v>
      </c>
      <c r="H282" s="58">
        <f t="shared" si="23"/>
        <v>645999.19592700002</v>
      </c>
      <c r="I282" s="58">
        <f>I266+I269+I272+I275</f>
        <v>1478128.7186990001</v>
      </c>
      <c r="J282" s="58">
        <f>J266+J269+J272+J275+J276+J278+J279+J280+J281</f>
        <v>1307074.7374270002</v>
      </c>
      <c r="K282" s="58" t="s">
        <v>66</v>
      </c>
      <c r="L282" s="68"/>
      <c r="M282" s="26"/>
      <c r="N282" s="26"/>
    </row>
    <row r="283" spans="1:14" ht="18.600000000000001" thickBot="1" x14ac:dyDescent="0.4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</row>
    <row r="284" spans="1:14" ht="18" x14ac:dyDescent="0.35">
      <c r="A284" s="25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</row>
    <row r="285" spans="1:14" ht="15.6" customHeight="1" x14ac:dyDescent="0.35">
      <c r="A285" s="38" t="s">
        <v>3</v>
      </c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40"/>
      <c r="M285" s="26"/>
      <c r="N285" s="26"/>
    </row>
    <row r="286" spans="1:14" ht="18" x14ac:dyDescent="0.35">
      <c r="A286" s="41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3"/>
      <c r="M286" s="26"/>
      <c r="N286" s="26"/>
    </row>
    <row r="287" spans="1:14" ht="18" x14ac:dyDescent="0.35">
      <c r="A287" s="44" t="s">
        <v>41</v>
      </c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45"/>
      <c r="M287" s="26"/>
      <c r="N287" s="26"/>
    </row>
    <row r="288" spans="1:14" ht="18" x14ac:dyDescent="0.35">
      <c r="A288" s="46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8"/>
      <c r="M288" s="26"/>
      <c r="N288" s="26"/>
    </row>
    <row r="289" spans="1:14" ht="14.4" customHeight="1" x14ac:dyDescent="0.35">
      <c r="A289" s="49" t="s">
        <v>119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1"/>
      <c r="M289" s="26"/>
      <c r="N289" s="26"/>
    </row>
    <row r="290" spans="1:14" ht="14.4" customHeight="1" x14ac:dyDescent="0.35">
      <c r="A290" s="52" t="s">
        <v>43</v>
      </c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4"/>
      <c r="M290" s="26"/>
      <c r="N290" s="26"/>
    </row>
    <row r="291" spans="1:14" ht="28.2" customHeight="1" x14ac:dyDescent="0.35">
      <c r="A291" s="55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7"/>
      <c r="M291" s="26"/>
      <c r="N291" s="26"/>
    </row>
    <row r="292" spans="1:14" ht="108" customHeight="1" x14ac:dyDescent="0.35">
      <c r="A292" s="58" t="s">
        <v>44</v>
      </c>
      <c r="B292" s="58" t="s">
        <v>45</v>
      </c>
      <c r="C292" s="58" t="s">
        <v>46</v>
      </c>
      <c r="D292" s="58" t="s">
        <v>47</v>
      </c>
      <c r="E292" s="58" t="s">
        <v>48</v>
      </c>
      <c r="F292" s="58" t="s">
        <v>49</v>
      </c>
      <c r="G292" s="58" t="s">
        <v>50</v>
      </c>
      <c r="H292" s="58" t="s">
        <v>51</v>
      </c>
      <c r="I292" s="58" t="s">
        <v>52</v>
      </c>
      <c r="J292" s="58" t="s">
        <v>53</v>
      </c>
      <c r="K292" s="58" t="s">
        <v>54</v>
      </c>
      <c r="L292" s="59"/>
      <c r="M292" s="26"/>
      <c r="N292" s="26"/>
    </row>
    <row r="293" spans="1:14" ht="24.6" customHeight="1" x14ac:dyDescent="0.35">
      <c r="A293" s="58"/>
      <c r="B293" s="58" t="s">
        <v>55</v>
      </c>
      <c r="C293" s="58" t="s">
        <v>56</v>
      </c>
      <c r="D293" s="58" t="s">
        <v>56</v>
      </c>
      <c r="E293" s="58" t="s">
        <v>56</v>
      </c>
      <c r="F293" s="58" t="s">
        <v>56</v>
      </c>
      <c r="G293" s="58" t="s">
        <v>56</v>
      </c>
      <c r="H293" s="58" t="s">
        <v>56</v>
      </c>
      <c r="I293" s="58" t="s">
        <v>56</v>
      </c>
      <c r="J293" s="58" t="s">
        <v>56</v>
      </c>
      <c r="K293" s="58" t="s">
        <v>56</v>
      </c>
      <c r="L293" s="59"/>
      <c r="M293" s="26"/>
      <c r="N293" s="26"/>
    </row>
    <row r="294" spans="1:14" ht="24.6" customHeight="1" x14ac:dyDescent="0.35">
      <c r="A294" s="60" t="s">
        <v>57</v>
      </c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59"/>
      <c r="M294" s="26"/>
      <c r="N294" s="26"/>
    </row>
    <row r="295" spans="1:14" ht="24.6" customHeight="1" x14ac:dyDescent="0.35">
      <c r="A295" s="61" t="s">
        <v>58</v>
      </c>
      <c r="B295" s="63">
        <v>44.513018000000002</v>
      </c>
      <c r="C295" s="63">
        <f>45799.383934+17569.6659245</f>
        <v>63369.049858500002</v>
      </c>
      <c r="D295" s="63">
        <f>263825.226866+44668.52001975</f>
        <v>308493.74688574998</v>
      </c>
      <c r="E295" s="63">
        <f>C295+D295</f>
        <v>371862.79674424999</v>
      </c>
      <c r="F295" s="63">
        <f>45787.964031+17569.6659245</f>
        <v>63357.629955500001</v>
      </c>
      <c r="G295" s="63">
        <f>255767.60702+44668.52001975</f>
        <v>300436.12703974999</v>
      </c>
      <c r="H295" s="63">
        <f>F295+G295</f>
        <v>363793.75699525001</v>
      </c>
      <c r="I295" s="63">
        <v>738674.45797550003</v>
      </c>
      <c r="J295" s="63">
        <v>725649.71561650001</v>
      </c>
      <c r="K295" s="63">
        <v>0</v>
      </c>
      <c r="L295" s="59"/>
      <c r="M295" s="26"/>
      <c r="N295" s="26"/>
    </row>
    <row r="296" spans="1:14" ht="24.6" customHeight="1" x14ac:dyDescent="0.35">
      <c r="A296" s="61" t="s">
        <v>60</v>
      </c>
      <c r="B296" s="63">
        <v>26.814928999999999</v>
      </c>
      <c r="C296" s="63">
        <v>38195.436596</v>
      </c>
      <c r="D296" s="63">
        <v>193316.479934</v>
      </c>
      <c r="E296" s="63">
        <f t="shared" ref="E296:E299" si="24">C296+D296</f>
        <v>231511.91652999999</v>
      </c>
      <c r="F296" s="63">
        <v>38190.927673999999</v>
      </c>
      <c r="G296" s="63">
        <v>192626.61386700001</v>
      </c>
      <c r="H296" s="63">
        <f t="shared" ref="H296:H299" si="25">F296+G296</f>
        <v>230817.54154100001</v>
      </c>
      <c r="I296" s="63">
        <v>450873.21389599994</v>
      </c>
      <c r="J296" s="63">
        <v>450295.74507800001</v>
      </c>
      <c r="K296" s="63">
        <v>0</v>
      </c>
      <c r="L296" s="59"/>
      <c r="M296" s="26"/>
      <c r="N296" s="26"/>
    </row>
    <row r="297" spans="1:14" ht="24.6" customHeight="1" x14ac:dyDescent="0.35">
      <c r="A297" s="61" t="s">
        <v>61</v>
      </c>
      <c r="B297" s="63">
        <v>22.424861</v>
      </c>
      <c r="C297" s="63">
        <v>32011.318066</v>
      </c>
      <c r="D297" s="63">
        <v>161929.39233</v>
      </c>
      <c r="E297" s="63">
        <f t="shared" si="24"/>
        <v>193940.71039600001</v>
      </c>
      <c r="F297" s="63">
        <v>32007.656814999998</v>
      </c>
      <c r="G297" s="63">
        <v>161924.30485799999</v>
      </c>
      <c r="H297" s="63">
        <f t="shared" si="25"/>
        <v>193931.96167299998</v>
      </c>
      <c r="I297" s="63">
        <v>372005.32962050004</v>
      </c>
      <c r="J297" s="63">
        <v>371898.23069650005</v>
      </c>
      <c r="K297" s="63">
        <v>0</v>
      </c>
      <c r="L297" s="59"/>
      <c r="M297" s="26"/>
      <c r="N297" s="26"/>
    </row>
    <row r="298" spans="1:14" ht="24.6" customHeight="1" x14ac:dyDescent="0.35">
      <c r="A298" s="61" t="s">
        <v>63</v>
      </c>
      <c r="B298" s="63">
        <v>3.5735999999999997E-2</v>
      </c>
      <c r="C298" s="63">
        <v>50.734459999999999</v>
      </c>
      <c r="D298" s="63">
        <v>257.01042000000001</v>
      </c>
      <c r="E298" s="63">
        <f t="shared" si="24"/>
        <v>307.74488000000002</v>
      </c>
      <c r="F298" s="63">
        <v>50.728186000000001</v>
      </c>
      <c r="G298" s="63">
        <v>257.00251800000001</v>
      </c>
      <c r="H298" s="63">
        <f t="shared" si="25"/>
        <v>307.730704</v>
      </c>
      <c r="I298" s="63">
        <v>612.99070900000004</v>
      </c>
      <c r="J298" s="63">
        <v>612.95122399999991</v>
      </c>
      <c r="K298" s="63">
        <v>0</v>
      </c>
      <c r="L298" s="59"/>
      <c r="M298" s="26"/>
      <c r="N298" s="26"/>
    </row>
    <row r="299" spans="1:14" ht="24.6" customHeight="1" x14ac:dyDescent="0.35">
      <c r="A299" s="61" t="s">
        <v>64</v>
      </c>
      <c r="B299" s="63">
        <v>6.2114560000000001</v>
      </c>
      <c r="C299" s="63">
        <v>8843.4294449999998</v>
      </c>
      <c r="D299" s="63">
        <v>44764.967950999999</v>
      </c>
      <c r="E299" s="63">
        <f t="shared" si="24"/>
        <v>53608.397396</v>
      </c>
      <c r="F299" s="63">
        <v>8670.7700800000002</v>
      </c>
      <c r="G299" s="63">
        <v>43665.580652999997</v>
      </c>
      <c r="H299" s="63">
        <f t="shared" si="25"/>
        <v>52336.350732999999</v>
      </c>
      <c r="I299" s="63">
        <v>104747.32443199999</v>
      </c>
      <c r="J299" s="63">
        <v>103471.03732999999</v>
      </c>
      <c r="K299" s="63">
        <v>0</v>
      </c>
      <c r="L299" s="59"/>
      <c r="M299" s="26"/>
      <c r="N299" s="26"/>
    </row>
    <row r="300" spans="1:14" ht="24.6" customHeight="1" x14ac:dyDescent="0.35">
      <c r="A300" s="60" t="s">
        <v>75</v>
      </c>
      <c r="B300" s="58">
        <v>100</v>
      </c>
      <c r="C300" s="58">
        <f>SUM(C295:C299)</f>
        <v>142469.9684255</v>
      </c>
      <c r="D300" s="58">
        <f t="shared" ref="D300:H300" si="26">SUM(D295:D299)</f>
        <v>708761.5975207499</v>
      </c>
      <c r="E300" s="58">
        <f t="shared" si="26"/>
        <v>851231.56594624999</v>
      </c>
      <c r="F300" s="58">
        <f t="shared" si="26"/>
        <v>142277.71271049997</v>
      </c>
      <c r="G300" s="58">
        <f t="shared" si="26"/>
        <v>698909.62893574999</v>
      </c>
      <c r="H300" s="58">
        <f t="shared" si="26"/>
        <v>841187.34164624999</v>
      </c>
      <c r="I300" s="58">
        <f>SUM(I295:I299)</f>
        <v>1666913.3166330003</v>
      </c>
      <c r="J300" s="58">
        <f>SUM(J295:J299)</f>
        <v>1651927.679945</v>
      </c>
      <c r="K300" s="58" t="s">
        <v>66</v>
      </c>
      <c r="L300" s="59"/>
      <c r="M300" s="26"/>
      <c r="N300" s="26"/>
    </row>
    <row r="301" spans="1:14" ht="24.6" customHeight="1" x14ac:dyDescent="0.35">
      <c r="A301" s="60" t="s">
        <v>79</v>
      </c>
      <c r="B301" s="58"/>
      <c r="C301" s="58"/>
      <c r="D301" s="58"/>
      <c r="E301" s="58"/>
      <c r="F301" s="58"/>
      <c r="G301" s="58"/>
      <c r="H301" s="58">
        <v>0</v>
      </c>
      <c r="I301" s="58"/>
      <c r="J301" s="58">
        <v>0</v>
      </c>
      <c r="K301" s="58" t="s">
        <v>66</v>
      </c>
      <c r="L301" s="59"/>
      <c r="M301" s="26"/>
      <c r="N301" s="26"/>
    </row>
    <row r="302" spans="1:14" ht="24.6" customHeight="1" x14ac:dyDescent="0.35">
      <c r="A302" s="60" t="s">
        <v>82</v>
      </c>
      <c r="B302" s="58"/>
      <c r="C302" s="58"/>
      <c r="D302" s="58"/>
      <c r="E302" s="58"/>
      <c r="F302" s="58"/>
      <c r="G302" s="58"/>
      <c r="H302" s="58">
        <v>0</v>
      </c>
      <c r="I302" s="58"/>
      <c r="J302" s="58">
        <v>0</v>
      </c>
      <c r="K302" s="58" t="s">
        <v>66</v>
      </c>
      <c r="L302" s="59"/>
      <c r="M302" s="26"/>
      <c r="N302" s="26"/>
    </row>
    <row r="303" spans="1:14" ht="24.6" customHeight="1" x14ac:dyDescent="0.35">
      <c r="A303" s="60" t="s">
        <v>91</v>
      </c>
      <c r="B303" s="58"/>
      <c r="C303" s="58"/>
      <c r="D303" s="58"/>
      <c r="E303" s="58"/>
      <c r="F303" s="58"/>
      <c r="G303" s="58"/>
      <c r="H303" s="58">
        <v>0</v>
      </c>
      <c r="I303" s="58"/>
      <c r="J303" s="58">
        <v>0</v>
      </c>
      <c r="K303" s="58" t="s">
        <v>66</v>
      </c>
      <c r="L303" s="59"/>
      <c r="M303" s="26"/>
      <c r="N303" s="26"/>
    </row>
    <row r="304" spans="1:14" ht="24.6" customHeight="1" x14ac:dyDescent="0.35">
      <c r="A304" s="60" t="s">
        <v>99</v>
      </c>
      <c r="B304" s="58"/>
      <c r="C304" s="58"/>
      <c r="D304" s="58"/>
      <c r="E304" s="58"/>
      <c r="F304" s="58"/>
      <c r="G304" s="58"/>
      <c r="H304" s="58">
        <v>0</v>
      </c>
      <c r="I304" s="58"/>
      <c r="J304" s="58">
        <v>0</v>
      </c>
      <c r="K304" s="58" t="s">
        <v>66</v>
      </c>
      <c r="L304" s="59"/>
      <c r="M304" s="26"/>
      <c r="N304" s="26"/>
    </row>
    <row r="305" spans="1:14" ht="24.6" customHeight="1" x14ac:dyDescent="0.3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59"/>
      <c r="M305" s="26"/>
      <c r="N305" s="26"/>
    </row>
    <row r="306" spans="1:14" ht="24.6" customHeight="1" x14ac:dyDescent="0.35">
      <c r="A306" s="61" t="s">
        <v>101</v>
      </c>
      <c r="B306" s="63"/>
      <c r="C306" s="63"/>
      <c r="D306" s="63"/>
      <c r="E306" s="63"/>
      <c r="F306" s="63">
        <v>0</v>
      </c>
      <c r="G306" s="63">
        <v>-387.59249999999997</v>
      </c>
      <c r="H306" s="63">
        <f>F306+G306</f>
        <v>-387.59249999999997</v>
      </c>
      <c r="I306" s="63"/>
      <c r="J306" s="63">
        <v>-585.01</v>
      </c>
      <c r="K306" s="63"/>
      <c r="L306" s="59"/>
      <c r="M306" s="26"/>
      <c r="N306" s="26"/>
    </row>
    <row r="307" spans="1:14" ht="24.6" customHeight="1" x14ac:dyDescent="0.35">
      <c r="A307" s="61" t="s">
        <v>102</v>
      </c>
      <c r="B307" s="63"/>
      <c r="C307" s="63"/>
      <c r="D307" s="63"/>
      <c r="E307" s="63"/>
      <c r="F307" s="63">
        <v>192.38499999999999</v>
      </c>
      <c r="G307" s="63">
        <v>9501.3974999999991</v>
      </c>
      <c r="H307" s="63">
        <f t="shared" ref="H307:H309" si="27">F307+G307</f>
        <v>9693.7824999999993</v>
      </c>
      <c r="I307" s="63"/>
      <c r="J307" s="63">
        <v>14549.247499999999</v>
      </c>
      <c r="K307" s="63"/>
      <c r="L307" s="59"/>
      <c r="M307" s="26"/>
      <c r="N307" s="26"/>
    </row>
    <row r="308" spans="1:14" ht="24.6" customHeight="1" x14ac:dyDescent="0.35">
      <c r="A308" s="61" t="s">
        <v>103</v>
      </c>
      <c r="B308" s="63"/>
      <c r="C308" s="63"/>
      <c r="D308" s="63"/>
      <c r="E308" s="63"/>
      <c r="F308" s="63">
        <v>0</v>
      </c>
      <c r="G308" s="63">
        <f>-17642.605-398.8275</f>
        <v>-18041.432499999999</v>
      </c>
      <c r="H308" s="63">
        <f t="shared" si="27"/>
        <v>-18041.432499999999</v>
      </c>
      <c r="I308" s="63"/>
      <c r="J308" s="63">
        <v>-18049.375</v>
      </c>
      <c r="K308" s="63"/>
      <c r="L308" s="59"/>
      <c r="M308" s="26"/>
      <c r="N308" s="26"/>
    </row>
    <row r="309" spans="1:14" ht="24.6" customHeight="1" x14ac:dyDescent="0.35">
      <c r="A309" s="61" t="s">
        <v>104</v>
      </c>
      <c r="B309" s="63"/>
      <c r="C309" s="63"/>
      <c r="D309" s="63"/>
      <c r="E309" s="63"/>
      <c r="F309" s="63">
        <v>0</v>
      </c>
      <c r="G309" s="63">
        <v>0</v>
      </c>
      <c r="H309" s="63">
        <f t="shared" si="27"/>
        <v>0</v>
      </c>
      <c r="I309" s="63"/>
      <c r="J309" s="63">
        <v>11.7925</v>
      </c>
      <c r="K309" s="63"/>
      <c r="L309" s="59"/>
      <c r="M309" s="26"/>
      <c r="N309" s="26"/>
    </row>
    <row r="310" spans="1:14" ht="24.6" customHeight="1" x14ac:dyDescent="0.35">
      <c r="A310" s="60" t="s">
        <v>105</v>
      </c>
      <c r="B310" s="58">
        <v>100</v>
      </c>
      <c r="C310" s="58">
        <f>C300</f>
        <v>142469.9684255</v>
      </c>
      <c r="D310" s="58">
        <f t="shared" ref="D310:E310" si="28">D300</f>
        <v>708761.5975207499</v>
      </c>
      <c r="E310" s="58">
        <f t="shared" si="28"/>
        <v>851231.56594624999</v>
      </c>
      <c r="F310" s="58">
        <f>F300+F306+F307+F308+F309</f>
        <v>142470.09771049998</v>
      </c>
      <c r="G310" s="58">
        <f t="shared" ref="G310:H310" si="29">G300+G306+G307+G308+G309</f>
        <v>689982.00143574993</v>
      </c>
      <c r="H310" s="58">
        <f t="shared" si="29"/>
        <v>832452.09914624994</v>
      </c>
      <c r="I310" s="58">
        <f>I300</f>
        <v>1666913.3166330003</v>
      </c>
      <c r="J310" s="58">
        <f>J300+J301+J302+J303+J304+J306+J307+J308+J309</f>
        <v>1647854.334945</v>
      </c>
      <c r="K310" s="58" t="s">
        <v>66</v>
      </c>
      <c r="L310" s="68"/>
      <c r="M310" s="26"/>
      <c r="N310" s="26"/>
    </row>
    <row r="311" spans="1:14" ht="18.600000000000001" thickBot="1" x14ac:dyDescent="0.4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</row>
    <row r="312" spans="1:14" ht="18" x14ac:dyDescent="0.35">
      <c r="A312" s="2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</row>
    <row r="313" spans="1:14" ht="15.6" customHeight="1" x14ac:dyDescent="0.35">
      <c r="A313" s="38" t="s">
        <v>3</v>
      </c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40"/>
      <c r="M313" s="26"/>
      <c r="N313" s="26"/>
    </row>
    <row r="314" spans="1:14" ht="18" x14ac:dyDescent="0.35">
      <c r="A314" s="41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3"/>
      <c r="M314" s="26"/>
      <c r="N314" s="26"/>
    </row>
    <row r="315" spans="1:14" ht="18" x14ac:dyDescent="0.35">
      <c r="A315" s="44" t="s">
        <v>41</v>
      </c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45"/>
      <c r="M315" s="26"/>
      <c r="N315" s="26"/>
    </row>
    <row r="316" spans="1:14" ht="18" x14ac:dyDescent="0.35">
      <c r="A316" s="46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8"/>
      <c r="M316" s="26"/>
      <c r="N316" s="26"/>
    </row>
    <row r="317" spans="1:14" ht="14.4" customHeight="1" x14ac:dyDescent="0.35">
      <c r="A317" s="49" t="s">
        <v>120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1"/>
      <c r="M317" s="26"/>
      <c r="N317" s="26"/>
    </row>
    <row r="318" spans="1:14" ht="14.4" customHeight="1" x14ac:dyDescent="0.35">
      <c r="A318" s="52" t="s">
        <v>43</v>
      </c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4"/>
      <c r="M318" s="26"/>
      <c r="N318" s="26"/>
    </row>
    <row r="319" spans="1:14" ht="18" x14ac:dyDescent="0.35">
      <c r="A319" s="55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7"/>
      <c r="M319" s="26"/>
      <c r="N319" s="26"/>
    </row>
    <row r="320" spans="1:14" ht="111" customHeight="1" x14ac:dyDescent="0.35">
      <c r="A320" s="58" t="s">
        <v>44</v>
      </c>
      <c r="B320" s="58" t="s">
        <v>45</v>
      </c>
      <c r="C320" s="58" t="s">
        <v>46</v>
      </c>
      <c r="D320" s="58" t="s">
        <v>47</v>
      </c>
      <c r="E320" s="58" t="s">
        <v>48</v>
      </c>
      <c r="F320" s="58" t="s">
        <v>49</v>
      </c>
      <c r="G320" s="58" t="s">
        <v>50</v>
      </c>
      <c r="H320" s="58" t="s">
        <v>51</v>
      </c>
      <c r="I320" s="58" t="s">
        <v>52</v>
      </c>
      <c r="J320" s="58" t="s">
        <v>53</v>
      </c>
      <c r="K320" s="58" t="s">
        <v>54</v>
      </c>
      <c r="L320" s="59"/>
      <c r="M320" s="26"/>
      <c r="N320" s="26"/>
    </row>
    <row r="321" spans="1:14" ht="38.4" customHeight="1" x14ac:dyDescent="0.35">
      <c r="A321" s="58"/>
      <c r="B321" s="58" t="s">
        <v>55</v>
      </c>
      <c r="C321" s="58" t="s">
        <v>56</v>
      </c>
      <c r="D321" s="58" t="s">
        <v>56</v>
      </c>
      <c r="E321" s="58" t="s">
        <v>56</v>
      </c>
      <c r="F321" s="58" t="s">
        <v>56</v>
      </c>
      <c r="G321" s="58" t="s">
        <v>56</v>
      </c>
      <c r="H321" s="58" t="s">
        <v>56</v>
      </c>
      <c r="I321" s="58" t="s">
        <v>56</v>
      </c>
      <c r="J321" s="58" t="s">
        <v>56</v>
      </c>
      <c r="K321" s="58" t="s">
        <v>56</v>
      </c>
      <c r="L321" s="59"/>
      <c r="M321" s="26"/>
      <c r="N321" s="26"/>
    </row>
    <row r="322" spans="1:14" ht="38.4" customHeight="1" x14ac:dyDescent="0.35">
      <c r="A322" s="60" t="s">
        <v>57</v>
      </c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59"/>
      <c r="M322" s="26"/>
      <c r="N322" s="26"/>
    </row>
    <row r="323" spans="1:14" ht="38.4" customHeight="1" x14ac:dyDescent="0.35">
      <c r="A323" s="61" t="s">
        <v>58</v>
      </c>
      <c r="B323" s="62">
        <v>82.609066999999996</v>
      </c>
      <c r="C323" s="63">
        <f>138811.089305+41989.4770549999</f>
        <v>180800.56635999991</v>
      </c>
      <c r="D323" s="63">
        <f>800077.679395+85966.4765400002</f>
        <v>886044.15593500016</v>
      </c>
      <c r="E323" s="63">
        <f>C323+D323</f>
        <v>1066844.722295</v>
      </c>
      <c r="F323" s="63">
        <f>138811.089289+41989.4770549999</f>
        <v>180800.5663439999</v>
      </c>
      <c r="G323" s="63">
        <f>727244.981373+85966.4765400002</f>
        <v>813211.45791300014</v>
      </c>
      <c r="H323" s="63">
        <f>F323+G323</f>
        <v>994012.02425700007</v>
      </c>
      <c r="I323" s="63">
        <v>2118130.5340505</v>
      </c>
      <c r="J323" s="63">
        <v>1969381.2670935001</v>
      </c>
      <c r="K323" s="63">
        <v>0</v>
      </c>
      <c r="L323" s="59"/>
      <c r="M323" s="26"/>
      <c r="N323" s="26"/>
    </row>
    <row r="324" spans="1:14" ht="38.4" customHeight="1" x14ac:dyDescent="0.35">
      <c r="A324" s="61" t="s">
        <v>60</v>
      </c>
      <c r="B324" s="62">
        <v>1.683235</v>
      </c>
      <c r="C324" s="63">
        <v>3687.791236</v>
      </c>
      <c r="D324" s="63">
        <v>18470.705766999999</v>
      </c>
      <c r="E324" s="63">
        <f t="shared" ref="E324:E327" si="30">C324+D324</f>
        <v>22158.497003</v>
      </c>
      <c r="F324" s="63">
        <v>3687.791236</v>
      </c>
      <c r="G324" s="63">
        <v>18270.458381</v>
      </c>
      <c r="H324" s="63">
        <f t="shared" ref="H324:H327" si="31">F324+G324</f>
        <v>21958.249617000001</v>
      </c>
      <c r="I324" s="63">
        <v>43975.945845000002</v>
      </c>
      <c r="J324" s="63">
        <v>44141.725486000003</v>
      </c>
      <c r="K324" s="63">
        <v>0</v>
      </c>
      <c r="L324" s="59"/>
      <c r="M324" s="26"/>
      <c r="N324" s="26"/>
    </row>
    <row r="325" spans="1:14" ht="38.4" customHeight="1" x14ac:dyDescent="0.35">
      <c r="A325" s="61" t="s">
        <v>61</v>
      </c>
      <c r="B325" s="62">
        <v>1.04318</v>
      </c>
      <c r="C325" s="63">
        <v>2273.6840849999999</v>
      </c>
      <c r="D325" s="63">
        <v>11396.652821</v>
      </c>
      <c r="E325" s="63">
        <f t="shared" si="30"/>
        <v>13670.336906</v>
      </c>
      <c r="F325" s="63">
        <v>2273.6840849999999</v>
      </c>
      <c r="G325" s="63">
        <v>10303.820073999999</v>
      </c>
      <c r="H325" s="63">
        <f t="shared" si="31"/>
        <v>12577.504159</v>
      </c>
      <c r="I325" s="63">
        <v>23705.470061</v>
      </c>
      <c r="J325" s="63">
        <v>22133.176653999999</v>
      </c>
      <c r="K325" s="63">
        <v>0</v>
      </c>
      <c r="L325" s="59"/>
      <c r="M325" s="26"/>
      <c r="N325" s="26"/>
    </row>
    <row r="326" spans="1:14" ht="38.4" customHeight="1" x14ac:dyDescent="0.35">
      <c r="A326" s="61" t="s">
        <v>63</v>
      </c>
      <c r="B326" s="62">
        <v>0.18370700000000001</v>
      </c>
      <c r="C326" s="63">
        <v>402.364125</v>
      </c>
      <c r="D326" s="63">
        <v>2015.3812720000001</v>
      </c>
      <c r="E326" s="63">
        <f t="shared" si="30"/>
        <v>2417.7453970000001</v>
      </c>
      <c r="F326" s="63">
        <v>402.364125</v>
      </c>
      <c r="G326" s="63">
        <v>2006.8833050000001</v>
      </c>
      <c r="H326" s="63">
        <f t="shared" si="31"/>
        <v>2409.2474299999999</v>
      </c>
      <c r="I326" s="63">
        <v>4695.9481610000003</v>
      </c>
      <c r="J326" s="63">
        <v>4664.3154119999999</v>
      </c>
      <c r="K326" s="63">
        <v>0</v>
      </c>
      <c r="L326" s="59"/>
      <c r="M326" s="26"/>
      <c r="N326" s="26"/>
    </row>
    <row r="327" spans="1:14" ht="38.4" customHeight="1" x14ac:dyDescent="0.35">
      <c r="A327" s="61" t="s">
        <v>64</v>
      </c>
      <c r="B327" s="62">
        <v>0.52117100000000005</v>
      </c>
      <c r="C327" s="63">
        <v>1142.4642369999999</v>
      </c>
      <c r="D327" s="63">
        <v>5721.7265770000004</v>
      </c>
      <c r="E327" s="63">
        <f t="shared" si="30"/>
        <v>6864.1908140000005</v>
      </c>
      <c r="F327" s="63">
        <v>1106.0435500000001</v>
      </c>
      <c r="G327" s="63">
        <v>5131.1177090000001</v>
      </c>
      <c r="H327" s="63">
        <f t="shared" si="31"/>
        <v>6237.1612590000004</v>
      </c>
      <c r="I327" s="63">
        <v>13806.499933999999</v>
      </c>
      <c r="J327" s="63">
        <v>12765.738439000001</v>
      </c>
      <c r="K327" s="63">
        <v>0</v>
      </c>
      <c r="L327" s="59"/>
      <c r="M327" s="26"/>
      <c r="N327" s="26"/>
    </row>
    <row r="328" spans="1:14" ht="38.4" customHeight="1" x14ac:dyDescent="0.35">
      <c r="A328" s="60" t="s">
        <v>75</v>
      </c>
      <c r="B328" s="58">
        <v>86.040360000000007</v>
      </c>
      <c r="C328" s="58">
        <f>SUM(C323:C327)</f>
        <v>188306.87004299989</v>
      </c>
      <c r="D328" s="58">
        <f t="shared" ref="D328:H328" si="32">SUM(D323:D327)</f>
        <v>923648.62237200013</v>
      </c>
      <c r="E328" s="58">
        <f t="shared" si="32"/>
        <v>1111955.4924150002</v>
      </c>
      <c r="F328" s="58">
        <f t="shared" si="32"/>
        <v>188270.44933999988</v>
      </c>
      <c r="G328" s="58">
        <f t="shared" si="32"/>
        <v>848923.7373820002</v>
      </c>
      <c r="H328" s="58">
        <f t="shared" si="32"/>
        <v>1037194.186722</v>
      </c>
      <c r="I328" s="58">
        <f>SUM(I323:I327)</f>
        <v>2204314.3980514999</v>
      </c>
      <c r="J328" s="58">
        <f>SUM(J323:J327)</f>
        <v>2053086.2230845003</v>
      </c>
      <c r="K328" s="58" t="s">
        <v>66</v>
      </c>
      <c r="L328" s="59"/>
      <c r="M328" s="26"/>
      <c r="N328" s="26"/>
    </row>
    <row r="329" spans="1:14" ht="38.4" customHeight="1" x14ac:dyDescent="0.35">
      <c r="A329" s="60" t="s">
        <v>76</v>
      </c>
      <c r="B329" s="62"/>
      <c r="C329" s="34"/>
      <c r="D329" s="34"/>
      <c r="E329" s="34"/>
      <c r="F329" s="34"/>
      <c r="G329" s="34"/>
      <c r="H329" s="34"/>
      <c r="I329" s="34"/>
      <c r="J329" s="34"/>
      <c r="K329" s="34"/>
      <c r="L329" s="59"/>
      <c r="M329" s="26"/>
      <c r="N329" s="26"/>
    </row>
    <row r="330" spans="1:14" ht="38.4" customHeight="1" x14ac:dyDescent="0.35">
      <c r="A330" s="61" t="s">
        <v>78</v>
      </c>
      <c r="B330" s="62">
        <v>0</v>
      </c>
      <c r="C330" s="63">
        <v>0</v>
      </c>
      <c r="D330" s="63">
        <v>0</v>
      </c>
      <c r="E330" s="63">
        <v>0</v>
      </c>
      <c r="F330" s="63">
        <v>0</v>
      </c>
      <c r="G330" s="63">
        <v>0</v>
      </c>
      <c r="H330" s="63">
        <v>0</v>
      </c>
      <c r="I330" s="63">
        <v>0</v>
      </c>
      <c r="J330" s="63">
        <v>0</v>
      </c>
      <c r="K330" s="63">
        <v>0</v>
      </c>
      <c r="L330" s="59"/>
      <c r="M330" s="26"/>
      <c r="N330" s="26"/>
    </row>
    <row r="331" spans="1:14" ht="38.4" customHeight="1" x14ac:dyDescent="0.35">
      <c r="A331" s="60" t="s">
        <v>79</v>
      </c>
      <c r="B331" s="58"/>
      <c r="C331" s="58">
        <v>0</v>
      </c>
      <c r="D331" s="58">
        <v>0</v>
      </c>
      <c r="E331" s="58">
        <v>0</v>
      </c>
      <c r="F331" s="58">
        <v>0</v>
      </c>
      <c r="G331" s="58">
        <v>0</v>
      </c>
      <c r="H331" s="58">
        <v>0</v>
      </c>
      <c r="I331" s="58">
        <v>0</v>
      </c>
      <c r="J331" s="58">
        <v>0</v>
      </c>
      <c r="K331" s="58" t="s">
        <v>66</v>
      </c>
      <c r="L331" s="59"/>
      <c r="M331" s="26"/>
      <c r="N331" s="26"/>
    </row>
    <row r="332" spans="1:14" ht="38.4" customHeight="1" x14ac:dyDescent="0.35">
      <c r="A332" s="60" t="s">
        <v>80</v>
      </c>
      <c r="B332" s="62"/>
      <c r="C332" s="34"/>
      <c r="D332" s="34"/>
      <c r="E332" s="34"/>
      <c r="F332" s="34"/>
      <c r="G332" s="34"/>
      <c r="H332" s="34"/>
      <c r="I332" s="34"/>
      <c r="J332" s="34"/>
      <c r="K332" s="34"/>
      <c r="L332" s="59"/>
      <c r="M332" s="26"/>
      <c r="N332" s="26"/>
    </row>
    <row r="333" spans="1:14" ht="38.4" customHeight="1" x14ac:dyDescent="0.35">
      <c r="A333" s="61" t="s">
        <v>81</v>
      </c>
      <c r="B333" s="62">
        <v>2.5477479999999999</v>
      </c>
      <c r="C333" s="63">
        <v>5579.7831150000002</v>
      </c>
      <c r="D333" s="63">
        <v>27948.607839</v>
      </c>
      <c r="E333" s="63">
        <v>33528.390954000002</v>
      </c>
      <c r="F333" s="63">
        <v>5517.7987149999999</v>
      </c>
      <c r="G333" s="63">
        <v>26574.126189999999</v>
      </c>
      <c r="H333" s="63">
        <v>32091.924905</v>
      </c>
      <c r="I333" s="63">
        <v>65941.684141000005</v>
      </c>
      <c r="J333" s="63">
        <v>64477.645154999998</v>
      </c>
      <c r="K333" s="63">
        <v>0</v>
      </c>
      <c r="L333" s="59"/>
      <c r="M333" s="26"/>
      <c r="N333" s="26"/>
    </row>
    <row r="334" spans="1:14" ht="38.4" customHeight="1" x14ac:dyDescent="0.35">
      <c r="A334" s="60" t="s">
        <v>82</v>
      </c>
      <c r="B334" s="58">
        <v>2.5477479999999999</v>
      </c>
      <c r="C334" s="58">
        <v>5579.7830000000004</v>
      </c>
      <c r="D334" s="58">
        <v>27948.608</v>
      </c>
      <c r="E334" s="58">
        <v>33528.391000000003</v>
      </c>
      <c r="F334" s="58">
        <v>5517.799</v>
      </c>
      <c r="G334" s="58">
        <v>26574.126</v>
      </c>
      <c r="H334" s="58">
        <v>32091.924999999999</v>
      </c>
      <c r="I334" s="58">
        <v>65941.683999999994</v>
      </c>
      <c r="J334" s="58">
        <v>64477.644999999997</v>
      </c>
      <c r="K334" s="58" t="s">
        <v>66</v>
      </c>
      <c r="L334" s="59"/>
      <c r="M334" s="26"/>
      <c r="N334" s="26"/>
    </row>
    <row r="335" spans="1:14" ht="38.4" customHeight="1" x14ac:dyDescent="0.35">
      <c r="A335" s="60" t="s">
        <v>83</v>
      </c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59"/>
      <c r="M335" s="26"/>
      <c r="N335" s="26"/>
    </row>
    <row r="336" spans="1:14" ht="38.4" customHeight="1" x14ac:dyDescent="0.35">
      <c r="A336" s="61" t="s">
        <v>87</v>
      </c>
      <c r="B336" s="62">
        <v>0</v>
      </c>
      <c r="C336" s="63">
        <v>0</v>
      </c>
      <c r="D336" s="63">
        <v>0</v>
      </c>
      <c r="E336" s="63">
        <v>0</v>
      </c>
      <c r="F336" s="63">
        <v>0</v>
      </c>
      <c r="G336" s="63">
        <v>0</v>
      </c>
      <c r="H336" s="63">
        <v>0</v>
      </c>
      <c r="I336" s="63">
        <v>0</v>
      </c>
      <c r="J336" s="63">
        <v>0</v>
      </c>
      <c r="K336" s="63">
        <v>0</v>
      </c>
      <c r="L336" s="59"/>
      <c r="M336" s="26"/>
      <c r="N336" s="26"/>
    </row>
    <row r="337" spans="1:14" ht="38.4" customHeight="1" x14ac:dyDescent="0.35">
      <c r="A337" s="61" t="s">
        <v>89</v>
      </c>
      <c r="B337" s="62">
        <v>11.411892</v>
      </c>
      <c r="C337" s="63">
        <v>24993.006399000002</v>
      </c>
      <c r="D337" s="63">
        <v>125187.61383</v>
      </c>
      <c r="E337" s="63">
        <v>150180.62022899999</v>
      </c>
      <c r="F337" s="63">
        <v>24929.117492000001</v>
      </c>
      <c r="G337" s="63">
        <v>121652.127371</v>
      </c>
      <c r="H337" s="63">
        <v>146581.244863</v>
      </c>
      <c r="I337" s="63">
        <v>295366.48782500002</v>
      </c>
      <c r="J337" s="63">
        <v>266180.23951300001</v>
      </c>
      <c r="K337" s="63">
        <v>0</v>
      </c>
      <c r="L337" s="59"/>
      <c r="M337" s="26"/>
      <c r="N337" s="26"/>
    </row>
    <row r="338" spans="1:14" ht="38.4" customHeight="1" x14ac:dyDescent="0.35">
      <c r="A338" s="60" t="s">
        <v>91</v>
      </c>
      <c r="B338" s="58">
        <v>11.411892</v>
      </c>
      <c r="C338" s="58">
        <v>24993.006000000001</v>
      </c>
      <c r="D338" s="58">
        <v>125187.614</v>
      </c>
      <c r="E338" s="58">
        <v>150180.62</v>
      </c>
      <c r="F338" s="58">
        <v>24929.116999999998</v>
      </c>
      <c r="G338" s="58">
        <v>121652.12699999999</v>
      </c>
      <c r="H338" s="58">
        <v>146581.245</v>
      </c>
      <c r="I338" s="58">
        <v>295366.48800000001</v>
      </c>
      <c r="J338" s="58">
        <v>266180.24</v>
      </c>
      <c r="K338" s="58" t="s">
        <v>66</v>
      </c>
      <c r="L338" s="59"/>
      <c r="M338" s="26"/>
      <c r="N338" s="26"/>
    </row>
    <row r="339" spans="1:14" ht="38.4" customHeight="1" x14ac:dyDescent="0.35">
      <c r="A339" s="60" t="s">
        <v>99</v>
      </c>
      <c r="B339" s="58"/>
      <c r="C339" s="58"/>
      <c r="D339" s="58"/>
      <c r="E339" s="58"/>
      <c r="F339" s="58"/>
      <c r="G339" s="58"/>
      <c r="H339" s="58">
        <v>0</v>
      </c>
      <c r="I339" s="58"/>
      <c r="J339" s="58">
        <v>0</v>
      </c>
      <c r="K339" s="58" t="s">
        <v>66</v>
      </c>
      <c r="L339" s="59"/>
      <c r="M339" s="26"/>
      <c r="N339" s="26"/>
    </row>
    <row r="340" spans="1:14" ht="38.4" customHeight="1" x14ac:dyDescent="0.35">
      <c r="A340" s="34"/>
      <c r="B340" s="62"/>
      <c r="C340" s="34"/>
      <c r="D340" s="34"/>
      <c r="E340" s="34"/>
      <c r="F340" s="34"/>
      <c r="G340" s="34"/>
      <c r="H340" s="34"/>
      <c r="I340" s="34"/>
      <c r="J340" s="34"/>
      <c r="K340" s="34"/>
      <c r="L340" s="59"/>
      <c r="M340" s="26"/>
      <c r="N340" s="26"/>
    </row>
    <row r="341" spans="1:14" ht="38.4" customHeight="1" x14ac:dyDescent="0.35">
      <c r="A341" s="61" t="s">
        <v>101</v>
      </c>
      <c r="B341" s="62"/>
      <c r="C341" s="63"/>
      <c r="D341" s="63"/>
      <c r="E341" s="63"/>
      <c r="F341" s="63">
        <v>0</v>
      </c>
      <c r="G341" s="63">
        <v>-8273.4150000000009</v>
      </c>
      <c r="H341" s="63">
        <f>F341+G341</f>
        <v>-8273.4150000000009</v>
      </c>
      <c r="I341" s="63"/>
      <c r="J341" s="63">
        <v>-9866.8325000000004</v>
      </c>
      <c r="K341" s="63"/>
      <c r="L341" s="59"/>
      <c r="M341" s="26"/>
      <c r="N341" s="26"/>
    </row>
    <row r="342" spans="1:14" ht="38.4" customHeight="1" x14ac:dyDescent="0.35">
      <c r="A342" s="61" t="s">
        <v>102</v>
      </c>
      <c r="B342" s="62"/>
      <c r="C342" s="63"/>
      <c r="D342" s="63"/>
      <c r="E342" s="63"/>
      <c r="F342" s="63">
        <v>68.942499999999995</v>
      </c>
      <c r="G342" s="63">
        <v>31473.125</v>
      </c>
      <c r="H342" s="63">
        <f t="shared" ref="H342:H344" si="33">F342+G342</f>
        <v>31542.067500000001</v>
      </c>
      <c r="I342" s="63"/>
      <c r="J342" s="63">
        <v>122317.19</v>
      </c>
      <c r="K342" s="63"/>
      <c r="L342" s="59"/>
      <c r="M342" s="26"/>
      <c r="N342" s="26"/>
    </row>
    <row r="343" spans="1:14" ht="38.4" customHeight="1" x14ac:dyDescent="0.35">
      <c r="A343" s="61" t="s">
        <v>103</v>
      </c>
      <c r="B343" s="62"/>
      <c r="C343" s="63"/>
      <c r="D343" s="63"/>
      <c r="E343" s="63"/>
      <c r="F343" s="63">
        <v>-250.76499999999999</v>
      </c>
      <c r="G343" s="63">
        <f>-65401.75-12326.0425</f>
        <v>-77727.792499999996</v>
      </c>
      <c r="H343" s="63">
        <f t="shared" si="33"/>
        <v>-77978.557499999995</v>
      </c>
      <c r="I343" s="63"/>
      <c r="J343" s="63">
        <v>-121531.56</v>
      </c>
      <c r="K343" s="63"/>
      <c r="L343" s="59"/>
      <c r="M343" s="26"/>
      <c r="N343" s="26"/>
    </row>
    <row r="344" spans="1:14" ht="38.4" customHeight="1" x14ac:dyDescent="0.35">
      <c r="A344" s="61" t="s">
        <v>104</v>
      </c>
      <c r="B344" s="62"/>
      <c r="C344" s="63"/>
      <c r="D344" s="63"/>
      <c r="E344" s="63"/>
      <c r="F344" s="63">
        <v>0</v>
      </c>
      <c r="G344" s="63">
        <v>180.185</v>
      </c>
      <c r="H344" s="63">
        <f t="shared" si="33"/>
        <v>180.185</v>
      </c>
      <c r="I344" s="63"/>
      <c r="J344" s="63">
        <v>180.98</v>
      </c>
      <c r="K344" s="63"/>
      <c r="L344" s="59"/>
      <c r="M344" s="26"/>
      <c r="N344" s="26"/>
    </row>
    <row r="345" spans="1:14" ht="38.4" customHeight="1" x14ac:dyDescent="0.35">
      <c r="A345" s="60" t="s">
        <v>105</v>
      </c>
      <c r="B345" s="58">
        <v>100</v>
      </c>
      <c r="C345" s="58">
        <f>C328+C331+C334+C338</f>
        <v>218879.65904299988</v>
      </c>
      <c r="D345" s="58">
        <f t="shared" ref="D345:E345" si="34">D328+D331+D334+D338</f>
        <v>1076784.8443720001</v>
      </c>
      <c r="E345" s="58">
        <f t="shared" si="34"/>
        <v>1295664.5034150002</v>
      </c>
      <c r="F345" s="58">
        <f>F328+F331+F334+F338+F341+F342+F343+F344</f>
        <v>218535.54283999986</v>
      </c>
      <c r="G345" s="58">
        <f t="shared" ref="G345:H345" si="35">G328+G331+G334+G338+G341+G342+G343+G344</f>
        <v>942802.09288200026</v>
      </c>
      <c r="H345" s="58">
        <f t="shared" si="35"/>
        <v>1161337.6367219999</v>
      </c>
      <c r="I345" s="58">
        <f>I328+I331+I334+I338</f>
        <v>2565622.5700514996</v>
      </c>
      <c r="J345" s="58">
        <f>J328+J331+J334+J338+J339+J341+J342+J343+J344</f>
        <v>2374843.8855844997</v>
      </c>
      <c r="K345" s="58" t="s">
        <v>66</v>
      </c>
      <c r="L345" s="68"/>
      <c r="M345" s="26"/>
      <c r="N345" s="26"/>
    </row>
    <row r="346" spans="1:14" ht="18.600000000000001" thickBot="1" x14ac:dyDescent="0.4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</row>
    <row r="347" spans="1:14" ht="18" x14ac:dyDescent="0.35">
      <c r="A347" s="25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</row>
    <row r="348" spans="1:14" ht="15.6" customHeight="1" x14ac:dyDescent="0.35">
      <c r="A348" s="38" t="s">
        <v>3</v>
      </c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40"/>
      <c r="M348" s="26"/>
      <c r="N348" s="26"/>
    </row>
    <row r="349" spans="1:14" ht="18" x14ac:dyDescent="0.35">
      <c r="A349" s="41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3"/>
      <c r="M349" s="26"/>
      <c r="N349" s="26"/>
    </row>
    <row r="350" spans="1:14" ht="18" x14ac:dyDescent="0.35">
      <c r="A350" s="44" t="s">
        <v>41</v>
      </c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45"/>
      <c r="M350" s="26"/>
      <c r="N350" s="26"/>
    </row>
    <row r="351" spans="1:14" ht="18" x14ac:dyDescent="0.35">
      <c r="A351" s="46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8"/>
      <c r="M351" s="26"/>
      <c r="N351" s="26"/>
    </row>
    <row r="352" spans="1:14" ht="14.4" customHeight="1" x14ac:dyDescent="0.35">
      <c r="A352" s="49" t="s">
        <v>121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1"/>
      <c r="M352" s="26"/>
      <c r="N352" s="26"/>
    </row>
    <row r="353" spans="1:14" ht="14.4" customHeight="1" x14ac:dyDescent="0.35">
      <c r="A353" s="52" t="s">
        <v>43</v>
      </c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4"/>
      <c r="M353" s="26"/>
      <c r="N353" s="26"/>
    </row>
    <row r="354" spans="1:14" ht="21.6" customHeight="1" x14ac:dyDescent="0.35">
      <c r="A354" s="55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7"/>
      <c r="M354" s="26"/>
      <c r="N354" s="26"/>
    </row>
    <row r="355" spans="1:14" ht="116.4" customHeight="1" x14ac:dyDescent="0.35">
      <c r="A355" s="58" t="s">
        <v>44</v>
      </c>
      <c r="B355" s="58" t="s">
        <v>45</v>
      </c>
      <c r="C355" s="58" t="s">
        <v>46</v>
      </c>
      <c r="D355" s="58" t="s">
        <v>47</v>
      </c>
      <c r="E355" s="58" t="s">
        <v>48</v>
      </c>
      <c r="F355" s="58" t="s">
        <v>49</v>
      </c>
      <c r="G355" s="58" t="s">
        <v>50</v>
      </c>
      <c r="H355" s="58" t="s">
        <v>51</v>
      </c>
      <c r="I355" s="58" t="s">
        <v>52</v>
      </c>
      <c r="J355" s="58" t="s">
        <v>53</v>
      </c>
      <c r="K355" s="58" t="s">
        <v>54</v>
      </c>
      <c r="L355" s="59"/>
      <c r="M355" s="26"/>
      <c r="N355" s="26"/>
    </row>
    <row r="356" spans="1:14" ht="30.6" customHeight="1" x14ac:dyDescent="0.35">
      <c r="A356" s="58"/>
      <c r="B356" s="58" t="s">
        <v>55</v>
      </c>
      <c r="C356" s="58" t="s">
        <v>56</v>
      </c>
      <c r="D356" s="58" t="s">
        <v>56</v>
      </c>
      <c r="E356" s="58" t="s">
        <v>56</v>
      </c>
      <c r="F356" s="58" t="s">
        <v>56</v>
      </c>
      <c r="G356" s="58" t="s">
        <v>56</v>
      </c>
      <c r="H356" s="58" t="s">
        <v>56</v>
      </c>
      <c r="I356" s="58" t="s">
        <v>56</v>
      </c>
      <c r="J356" s="58" t="s">
        <v>56</v>
      </c>
      <c r="K356" s="58" t="s">
        <v>56</v>
      </c>
      <c r="L356" s="59"/>
      <c r="M356" s="26"/>
      <c r="N356" s="26"/>
    </row>
    <row r="357" spans="1:14" ht="30.6" customHeight="1" x14ac:dyDescent="0.35">
      <c r="A357" s="60" t="s">
        <v>57</v>
      </c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59"/>
      <c r="M357" s="26"/>
      <c r="N357" s="26"/>
    </row>
    <row r="358" spans="1:14" ht="30.6" customHeight="1" x14ac:dyDescent="0.35">
      <c r="A358" s="61" t="s">
        <v>58</v>
      </c>
      <c r="B358" s="63">
        <v>19.758403999999999</v>
      </c>
      <c r="C358" s="63">
        <v>17534.628700000001</v>
      </c>
      <c r="D358" s="63">
        <v>86838.911896000005</v>
      </c>
      <c r="E358" s="63">
        <v>104373.54059600001</v>
      </c>
      <c r="F358" s="63">
        <v>17534.576008</v>
      </c>
      <c r="G358" s="63">
        <v>86027.849518999996</v>
      </c>
      <c r="H358" s="63">
        <v>103562.425527</v>
      </c>
      <c r="I358" s="63">
        <v>305640.13255400001</v>
      </c>
      <c r="J358" s="63">
        <v>303677.50067199999</v>
      </c>
      <c r="K358" s="63">
        <v>0</v>
      </c>
      <c r="L358" s="59"/>
      <c r="M358" s="26"/>
      <c r="N358" s="26"/>
    </row>
    <row r="359" spans="1:14" ht="30.6" customHeight="1" x14ac:dyDescent="0.35">
      <c r="A359" s="61" t="s">
        <v>60</v>
      </c>
      <c r="B359" s="63">
        <v>9.3913659999999997</v>
      </c>
      <c r="C359" s="63">
        <v>8482.5517400000008</v>
      </c>
      <c r="D359" s="63">
        <v>43187.197185999998</v>
      </c>
      <c r="E359" s="63">
        <v>51669.748925</v>
      </c>
      <c r="F359" s="63">
        <v>8482.5517400000008</v>
      </c>
      <c r="G359" s="63">
        <v>43076.665411000002</v>
      </c>
      <c r="H359" s="63">
        <v>51559.217150999997</v>
      </c>
      <c r="I359" s="63">
        <v>145927.788765</v>
      </c>
      <c r="J359" s="63">
        <v>145926.82874499998</v>
      </c>
      <c r="K359" s="63">
        <v>0</v>
      </c>
      <c r="L359" s="59"/>
      <c r="M359" s="26"/>
      <c r="N359" s="26"/>
    </row>
    <row r="360" spans="1:14" ht="30.6" customHeight="1" x14ac:dyDescent="0.35">
      <c r="A360" s="61" t="s">
        <v>61</v>
      </c>
      <c r="B360" s="63">
        <v>52.403846000000001</v>
      </c>
      <c r="C360" s="63">
        <v>47323.868759999998</v>
      </c>
      <c r="D360" s="63">
        <v>240975.015094</v>
      </c>
      <c r="E360" s="63">
        <v>288298.88385400001</v>
      </c>
      <c r="F360" s="63">
        <v>47323.868759999998</v>
      </c>
      <c r="G360" s="63">
        <v>240949.01550000001</v>
      </c>
      <c r="H360" s="63">
        <v>288272.88426000002</v>
      </c>
      <c r="I360" s="63">
        <v>804200.57078199997</v>
      </c>
      <c r="J360" s="63">
        <v>804143.14424300008</v>
      </c>
      <c r="K360" s="63">
        <v>0</v>
      </c>
      <c r="L360" s="59"/>
      <c r="M360" s="26"/>
      <c r="N360" s="26"/>
    </row>
    <row r="361" spans="1:14" ht="30.6" customHeight="1" x14ac:dyDescent="0.35">
      <c r="A361" s="61" t="s">
        <v>63</v>
      </c>
      <c r="B361" s="63">
        <v>0.78042599999999995</v>
      </c>
      <c r="C361" s="63">
        <v>693.26465199999996</v>
      </c>
      <c r="D361" s="63">
        <v>3573.7854689999999</v>
      </c>
      <c r="E361" s="63">
        <v>4267.0501210000002</v>
      </c>
      <c r="F361" s="63">
        <v>693.10455100000001</v>
      </c>
      <c r="G361" s="63">
        <v>3562.1324719999998</v>
      </c>
      <c r="H361" s="63">
        <v>4255.237024</v>
      </c>
      <c r="I361" s="63">
        <v>11260.466229</v>
      </c>
      <c r="J361" s="63">
        <v>10804.082348</v>
      </c>
      <c r="K361" s="63">
        <v>0</v>
      </c>
      <c r="L361" s="59"/>
      <c r="M361" s="26"/>
      <c r="N361" s="26"/>
    </row>
    <row r="362" spans="1:14" ht="30.6" customHeight="1" x14ac:dyDescent="0.35">
      <c r="A362" s="61" t="s">
        <v>64</v>
      </c>
      <c r="B362" s="63">
        <v>16.790958</v>
      </c>
      <c r="C362" s="63">
        <v>15165.421147999999</v>
      </c>
      <c r="D362" s="63">
        <v>77214.97567</v>
      </c>
      <c r="E362" s="63">
        <v>92380.396817999994</v>
      </c>
      <c r="F362" s="63">
        <v>15161.89855</v>
      </c>
      <c r="G362" s="63">
        <v>76637.044267999998</v>
      </c>
      <c r="H362" s="63">
        <v>91798.942817999996</v>
      </c>
      <c r="I362" s="63">
        <v>260169.120131</v>
      </c>
      <c r="J362" s="63">
        <v>259577.569319</v>
      </c>
      <c r="K362" s="63">
        <v>0</v>
      </c>
      <c r="L362" s="59"/>
      <c r="M362" s="26"/>
      <c r="N362" s="26"/>
    </row>
    <row r="363" spans="1:14" ht="30.6" customHeight="1" x14ac:dyDescent="0.35">
      <c r="A363" s="60" t="s">
        <v>75</v>
      </c>
      <c r="B363" s="58">
        <v>99.125</v>
      </c>
      <c r="C363" s="58">
        <v>89199.735000000001</v>
      </c>
      <c r="D363" s="58">
        <v>451789.88500000001</v>
      </c>
      <c r="E363" s="58">
        <v>540989.62</v>
      </c>
      <c r="F363" s="58">
        <v>89196</v>
      </c>
      <c r="G363" s="58">
        <v>450252.70699999999</v>
      </c>
      <c r="H363" s="58">
        <v>539448.70700000005</v>
      </c>
      <c r="I363" s="58">
        <f>SUM(I358:I362)</f>
        <v>1527198.0784609998</v>
      </c>
      <c r="J363" s="58">
        <f>SUM(J358:J362)</f>
        <v>1524129.1253270002</v>
      </c>
      <c r="K363" s="58" t="s">
        <v>66</v>
      </c>
      <c r="L363" s="59"/>
      <c r="M363" s="26"/>
      <c r="N363" s="26"/>
    </row>
    <row r="364" spans="1:14" ht="30.6" customHeight="1" x14ac:dyDescent="0.35">
      <c r="A364" s="60" t="s">
        <v>79</v>
      </c>
      <c r="B364" s="58"/>
      <c r="C364" s="58"/>
      <c r="D364" s="58"/>
      <c r="E364" s="58"/>
      <c r="F364" s="58"/>
      <c r="G364" s="58"/>
      <c r="H364" s="58">
        <v>0</v>
      </c>
      <c r="I364" s="58"/>
      <c r="J364" s="58">
        <v>0</v>
      </c>
      <c r="K364" s="58" t="s">
        <v>66</v>
      </c>
      <c r="L364" s="59"/>
      <c r="M364" s="26"/>
      <c r="N364" s="26"/>
    </row>
    <row r="365" spans="1:14" ht="30.6" customHeight="1" x14ac:dyDescent="0.35">
      <c r="A365" s="60" t="s">
        <v>80</v>
      </c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59"/>
      <c r="M365" s="26"/>
      <c r="N365" s="26"/>
    </row>
    <row r="366" spans="1:14" ht="30.6" customHeight="1" x14ac:dyDescent="0.35">
      <c r="A366" s="61" t="s">
        <v>81</v>
      </c>
      <c r="B366" s="63">
        <v>0.875</v>
      </c>
      <c r="C366" s="63">
        <v>790.26499999999999</v>
      </c>
      <c r="D366" s="63">
        <v>4023.7421880000002</v>
      </c>
      <c r="E366" s="63">
        <v>4814.0071879999996</v>
      </c>
      <c r="F366" s="63">
        <v>787.66750000000002</v>
      </c>
      <c r="G366" s="63">
        <v>3976.8902029999999</v>
      </c>
      <c r="H366" s="63">
        <v>4764.5577020000001</v>
      </c>
      <c r="I366" s="63">
        <v>13528.399063999999</v>
      </c>
      <c r="J366" s="63">
        <v>13559.19507</v>
      </c>
      <c r="K366" s="63">
        <v>0</v>
      </c>
      <c r="L366" s="59"/>
      <c r="M366" s="26"/>
      <c r="N366" s="26"/>
    </row>
    <row r="367" spans="1:14" ht="30.6" customHeight="1" x14ac:dyDescent="0.35">
      <c r="A367" s="60" t="s">
        <v>82</v>
      </c>
      <c r="B367" s="58">
        <v>0.875</v>
      </c>
      <c r="C367" s="58">
        <v>790.26499999999999</v>
      </c>
      <c r="D367" s="58">
        <v>4023.7420000000002</v>
      </c>
      <c r="E367" s="58">
        <v>4814.0069999999996</v>
      </c>
      <c r="F367" s="58">
        <v>787.66800000000001</v>
      </c>
      <c r="G367" s="58">
        <v>3976.89</v>
      </c>
      <c r="H367" s="58">
        <v>4764.558</v>
      </c>
      <c r="I367" s="58">
        <v>13528.398999999999</v>
      </c>
      <c r="J367" s="58">
        <v>13559.195</v>
      </c>
      <c r="K367" s="58" t="s">
        <v>66</v>
      </c>
      <c r="L367" s="59"/>
      <c r="M367" s="26"/>
      <c r="N367" s="26"/>
    </row>
    <row r="368" spans="1:14" ht="30.6" customHeight="1" x14ac:dyDescent="0.35">
      <c r="A368" s="60" t="s">
        <v>83</v>
      </c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59"/>
      <c r="M368" s="26"/>
      <c r="N368" s="26"/>
    </row>
    <row r="369" spans="1:14" ht="30.6" customHeight="1" x14ac:dyDescent="0.35">
      <c r="A369" s="61" t="s">
        <v>90</v>
      </c>
      <c r="B369" s="63">
        <v>0</v>
      </c>
      <c r="C369" s="63">
        <v>0</v>
      </c>
      <c r="D369" s="63">
        <v>0</v>
      </c>
      <c r="E369" s="63">
        <v>0</v>
      </c>
      <c r="F369" s="63">
        <v>0</v>
      </c>
      <c r="G369" s="63">
        <v>0</v>
      </c>
      <c r="H369" s="63">
        <v>0</v>
      </c>
      <c r="I369" s="63">
        <v>0</v>
      </c>
      <c r="J369" s="63">
        <v>0</v>
      </c>
      <c r="K369" s="63">
        <v>0</v>
      </c>
      <c r="L369" s="59"/>
      <c r="M369" s="26"/>
      <c r="N369" s="26"/>
    </row>
    <row r="370" spans="1:14" ht="30.6" customHeight="1" x14ac:dyDescent="0.35">
      <c r="A370" s="60" t="s">
        <v>91</v>
      </c>
      <c r="B370" s="58"/>
      <c r="C370" s="58">
        <v>0</v>
      </c>
      <c r="D370" s="58">
        <v>0</v>
      </c>
      <c r="E370" s="58">
        <v>0</v>
      </c>
      <c r="F370" s="58">
        <v>0</v>
      </c>
      <c r="G370" s="58">
        <v>0</v>
      </c>
      <c r="H370" s="58">
        <v>0</v>
      </c>
      <c r="I370" s="58">
        <v>0</v>
      </c>
      <c r="J370" s="58">
        <v>0</v>
      </c>
      <c r="K370" s="58" t="s">
        <v>66</v>
      </c>
      <c r="L370" s="59"/>
      <c r="M370" s="26"/>
      <c r="N370" s="26"/>
    </row>
    <row r="371" spans="1:14" ht="30.6" customHeight="1" x14ac:dyDescent="0.35">
      <c r="A371" s="60" t="s">
        <v>99</v>
      </c>
      <c r="B371" s="58"/>
      <c r="C371" s="58"/>
      <c r="D371" s="58"/>
      <c r="E371" s="58"/>
      <c r="F371" s="58"/>
      <c r="G371" s="58"/>
      <c r="H371" s="58">
        <v>0</v>
      </c>
      <c r="I371" s="58"/>
      <c r="J371" s="58">
        <v>0</v>
      </c>
      <c r="K371" s="58" t="s">
        <v>66</v>
      </c>
      <c r="L371" s="59"/>
      <c r="M371" s="26"/>
      <c r="N371" s="26"/>
    </row>
    <row r="372" spans="1:14" ht="30.6" customHeight="1" x14ac:dyDescent="0.3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59"/>
      <c r="M372" s="26"/>
      <c r="N372" s="26"/>
    </row>
    <row r="373" spans="1:14" ht="30.6" customHeight="1" x14ac:dyDescent="0.35">
      <c r="A373" s="61" t="s">
        <v>101</v>
      </c>
      <c r="B373" s="63"/>
      <c r="C373" s="63"/>
      <c r="D373" s="63"/>
      <c r="E373" s="63"/>
      <c r="F373" s="63">
        <v>0</v>
      </c>
      <c r="G373" s="63">
        <v>-21.425000000000001</v>
      </c>
      <c r="H373" s="63">
        <v>-21.425000000000001</v>
      </c>
      <c r="I373" s="63"/>
      <c r="J373" s="63">
        <v>-21.425000000000001</v>
      </c>
      <c r="K373" s="63"/>
      <c r="L373" s="59"/>
      <c r="M373" s="26"/>
      <c r="N373" s="26"/>
    </row>
    <row r="374" spans="1:14" ht="30.6" customHeight="1" x14ac:dyDescent="0.35">
      <c r="A374" s="61" t="s">
        <v>102</v>
      </c>
      <c r="B374" s="63"/>
      <c r="C374" s="63"/>
      <c r="D374" s="63"/>
      <c r="E374" s="63"/>
      <c r="F374" s="63">
        <v>6.4275000000000002</v>
      </c>
      <c r="G374" s="63">
        <v>1582.9749999999999</v>
      </c>
      <c r="H374" s="63">
        <v>1589.4024999999999</v>
      </c>
      <c r="I374" s="63"/>
      <c r="J374" s="63">
        <v>3065.6562260000001</v>
      </c>
      <c r="K374" s="63"/>
      <c r="L374" s="59"/>
      <c r="M374" s="26"/>
      <c r="N374" s="26"/>
    </row>
    <row r="375" spans="1:14" ht="30.6" customHeight="1" x14ac:dyDescent="0.35">
      <c r="A375" s="61" t="s">
        <v>103</v>
      </c>
      <c r="B375" s="63"/>
      <c r="C375" s="63"/>
      <c r="D375" s="63"/>
      <c r="E375" s="63"/>
      <c r="F375" s="63">
        <v>0</v>
      </c>
      <c r="G375" s="63">
        <v>-1368.7650000000001</v>
      </c>
      <c r="H375" s="63">
        <v>-1368.7650000000001</v>
      </c>
      <c r="I375" s="63"/>
      <c r="J375" s="63">
        <v>-1581.19</v>
      </c>
      <c r="K375" s="63"/>
      <c r="L375" s="59"/>
      <c r="M375" s="26"/>
      <c r="N375" s="26"/>
    </row>
    <row r="376" spans="1:14" ht="30.6" customHeight="1" x14ac:dyDescent="0.35">
      <c r="A376" s="61" t="s">
        <v>104</v>
      </c>
      <c r="B376" s="63"/>
      <c r="C376" s="63"/>
      <c r="D376" s="63"/>
      <c r="E376" s="63"/>
      <c r="F376" s="63">
        <v>0</v>
      </c>
      <c r="G376" s="63">
        <v>0</v>
      </c>
      <c r="H376" s="63">
        <v>0</v>
      </c>
      <c r="I376" s="63"/>
      <c r="J376" s="63">
        <v>0</v>
      </c>
      <c r="K376" s="63"/>
      <c r="L376" s="59"/>
      <c r="M376" s="26"/>
      <c r="N376" s="26"/>
    </row>
    <row r="377" spans="1:14" ht="30.6" customHeight="1" x14ac:dyDescent="0.35">
      <c r="A377" s="60" t="s">
        <v>105</v>
      </c>
      <c r="B377" s="58">
        <v>100</v>
      </c>
      <c r="C377" s="58">
        <v>89990</v>
      </c>
      <c r="D377" s="58">
        <v>455813.62800000003</v>
      </c>
      <c r="E377" s="58">
        <v>545803.62800000003</v>
      </c>
      <c r="F377" s="58">
        <v>89990.095000000001</v>
      </c>
      <c r="G377" s="58">
        <v>454422.38199999998</v>
      </c>
      <c r="H377" s="58">
        <v>544412.47699999996</v>
      </c>
      <c r="I377" s="58">
        <f>I363+I367+I370</f>
        <v>1540726.4774609997</v>
      </c>
      <c r="J377" s="58">
        <f>J363+J367+J370+J371+J373+J374+J375+J376</f>
        <v>1539151.3615530003</v>
      </c>
      <c r="K377" s="58" t="s">
        <v>66</v>
      </c>
      <c r="L377" s="68"/>
      <c r="M377" s="26"/>
      <c r="N377" s="26"/>
    </row>
    <row r="378" spans="1:14" ht="18.600000000000001" thickBot="1" x14ac:dyDescent="0.4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</row>
    <row r="379" spans="1:14" ht="18" x14ac:dyDescent="0.35">
      <c r="A379" s="25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</row>
    <row r="380" spans="1:14" ht="15.6" customHeight="1" x14ac:dyDescent="0.35">
      <c r="A380" s="38" t="s">
        <v>3</v>
      </c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40"/>
      <c r="M380" s="26"/>
      <c r="N380" s="26"/>
    </row>
    <row r="381" spans="1:14" ht="18" x14ac:dyDescent="0.35">
      <c r="A381" s="41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3"/>
      <c r="M381" s="26"/>
      <c r="N381" s="26"/>
    </row>
    <row r="382" spans="1:14" ht="18" x14ac:dyDescent="0.35">
      <c r="A382" s="44" t="s">
        <v>41</v>
      </c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45"/>
      <c r="M382" s="26"/>
      <c r="N382" s="26"/>
    </row>
    <row r="383" spans="1:14" ht="18" x14ac:dyDescent="0.35">
      <c r="A383" s="46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8"/>
      <c r="M383" s="26"/>
      <c r="N383" s="26"/>
    </row>
    <row r="384" spans="1:14" ht="27.6" customHeight="1" x14ac:dyDescent="0.35">
      <c r="A384" s="49" t="s">
        <v>122</v>
      </c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1"/>
      <c r="M384" s="26"/>
      <c r="N384" s="26"/>
    </row>
    <row r="385" spans="1:14" ht="14.4" customHeight="1" x14ac:dyDescent="0.35">
      <c r="A385" s="52" t="s">
        <v>43</v>
      </c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4"/>
      <c r="M385" s="26"/>
      <c r="N385" s="26"/>
    </row>
    <row r="386" spans="1:14" ht="29.4" customHeight="1" x14ac:dyDescent="0.35">
      <c r="A386" s="55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7"/>
      <c r="M386" s="26"/>
      <c r="N386" s="26"/>
    </row>
    <row r="387" spans="1:14" ht="111" customHeight="1" x14ac:dyDescent="0.35">
      <c r="A387" s="58" t="s">
        <v>44</v>
      </c>
      <c r="B387" s="58" t="s">
        <v>45</v>
      </c>
      <c r="C387" s="58" t="s">
        <v>46</v>
      </c>
      <c r="D387" s="58" t="s">
        <v>47</v>
      </c>
      <c r="E387" s="58" t="s">
        <v>48</v>
      </c>
      <c r="F387" s="58" t="s">
        <v>49</v>
      </c>
      <c r="G387" s="58" t="s">
        <v>50</v>
      </c>
      <c r="H387" s="58" t="s">
        <v>51</v>
      </c>
      <c r="I387" s="58" t="s">
        <v>52</v>
      </c>
      <c r="J387" s="58" t="s">
        <v>53</v>
      </c>
      <c r="K387" s="58" t="s">
        <v>54</v>
      </c>
      <c r="L387" s="59"/>
      <c r="M387" s="26"/>
      <c r="N387" s="26"/>
    </row>
    <row r="388" spans="1:14" ht="33" customHeight="1" x14ac:dyDescent="0.35">
      <c r="A388" s="58"/>
      <c r="B388" s="58" t="s">
        <v>55</v>
      </c>
      <c r="C388" s="58" t="s">
        <v>56</v>
      </c>
      <c r="D388" s="58" t="s">
        <v>56</v>
      </c>
      <c r="E388" s="58" t="s">
        <v>56</v>
      </c>
      <c r="F388" s="58" t="s">
        <v>56</v>
      </c>
      <c r="G388" s="58" t="s">
        <v>56</v>
      </c>
      <c r="H388" s="58" t="s">
        <v>56</v>
      </c>
      <c r="I388" s="58" t="s">
        <v>56</v>
      </c>
      <c r="J388" s="58" t="s">
        <v>56</v>
      </c>
      <c r="K388" s="58" t="s">
        <v>56</v>
      </c>
      <c r="L388" s="59"/>
      <c r="M388" s="26"/>
      <c r="N388" s="26"/>
    </row>
    <row r="389" spans="1:14" ht="33" customHeight="1" x14ac:dyDescent="0.35">
      <c r="A389" s="60" t="s">
        <v>57</v>
      </c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59"/>
      <c r="M389" s="26"/>
      <c r="N389" s="26"/>
    </row>
    <row r="390" spans="1:14" ht="33" customHeight="1" x14ac:dyDescent="0.35">
      <c r="A390" s="61" t="s">
        <v>58</v>
      </c>
      <c r="B390" s="62">
        <v>19.070582999999999</v>
      </c>
      <c r="C390" s="63">
        <v>9717.6634919999997</v>
      </c>
      <c r="D390" s="63">
        <v>48048.377552999998</v>
      </c>
      <c r="E390" s="63">
        <v>57766.041044999998</v>
      </c>
      <c r="F390" s="63">
        <v>9671.0548120000003</v>
      </c>
      <c r="G390" s="63">
        <v>41497.630063999997</v>
      </c>
      <c r="H390" s="63">
        <v>51168.684875999999</v>
      </c>
      <c r="I390" s="63">
        <v>122881.90108499999</v>
      </c>
      <c r="J390" s="63">
        <v>108779.395439</v>
      </c>
      <c r="K390" s="63">
        <v>0</v>
      </c>
      <c r="L390" s="59"/>
      <c r="M390" s="26"/>
      <c r="N390" s="26"/>
    </row>
    <row r="391" spans="1:14" ht="33" customHeight="1" x14ac:dyDescent="0.35">
      <c r="A391" s="61" t="s">
        <v>59</v>
      </c>
      <c r="B391" s="62">
        <v>0</v>
      </c>
      <c r="C391" s="63">
        <v>0</v>
      </c>
      <c r="D391" s="63">
        <v>0</v>
      </c>
      <c r="E391" s="63">
        <v>0</v>
      </c>
      <c r="F391" s="63">
        <v>0</v>
      </c>
      <c r="G391" s="63">
        <v>0</v>
      </c>
      <c r="H391" s="63">
        <v>0</v>
      </c>
      <c r="I391" s="63">
        <v>0</v>
      </c>
      <c r="J391" s="63">
        <v>0</v>
      </c>
      <c r="K391" s="63">
        <v>0</v>
      </c>
      <c r="L391" s="59"/>
      <c r="M391" s="26"/>
      <c r="N391" s="26"/>
    </row>
    <row r="392" spans="1:14" ht="33" customHeight="1" x14ac:dyDescent="0.35">
      <c r="A392" s="61" t="s">
        <v>60</v>
      </c>
      <c r="B392" s="62">
        <v>11.280823</v>
      </c>
      <c r="C392" s="63">
        <v>6437.6885039999997</v>
      </c>
      <c r="D392" s="63">
        <v>32388.783065</v>
      </c>
      <c r="E392" s="63">
        <v>38826.471569000001</v>
      </c>
      <c r="F392" s="63">
        <v>6437.6885039999997</v>
      </c>
      <c r="G392" s="63">
        <v>31406.034529</v>
      </c>
      <c r="H392" s="63">
        <v>37843.723032000002</v>
      </c>
      <c r="I392" s="63">
        <v>77306.66420900001</v>
      </c>
      <c r="J392" s="63">
        <v>76362.646439999997</v>
      </c>
      <c r="K392" s="63">
        <v>0</v>
      </c>
      <c r="L392" s="59"/>
      <c r="M392" s="26"/>
      <c r="N392" s="26"/>
    </row>
    <row r="393" spans="1:14" ht="33" customHeight="1" x14ac:dyDescent="0.35">
      <c r="A393" s="61" t="s">
        <v>61</v>
      </c>
      <c r="B393" s="62">
        <v>18.604638000000001</v>
      </c>
      <c r="C393" s="63">
        <v>10614.430608000001</v>
      </c>
      <c r="D393" s="63">
        <v>52325.082763999999</v>
      </c>
      <c r="E393" s="63">
        <v>62939.513372000001</v>
      </c>
      <c r="F393" s="63">
        <v>10573.40977</v>
      </c>
      <c r="G393" s="63">
        <v>41935.358053999997</v>
      </c>
      <c r="H393" s="63">
        <v>52508.767823000002</v>
      </c>
      <c r="I393" s="63">
        <v>124409.072252</v>
      </c>
      <c r="J393" s="63">
        <v>102096.392035</v>
      </c>
      <c r="K393" s="63">
        <f>IF((0.85*I393-J393)&gt;0,(0.85*I393-J393),0)</f>
        <v>3651.3193791999947</v>
      </c>
      <c r="L393" s="59"/>
      <c r="M393" s="26"/>
      <c r="N393" s="26"/>
    </row>
    <row r="394" spans="1:14" ht="33" customHeight="1" x14ac:dyDescent="0.35">
      <c r="A394" s="61" t="s">
        <v>63</v>
      </c>
      <c r="B394" s="62">
        <v>2.9248E-2</v>
      </c>
      <c r="C394" s="63">
        <v>16.697196000000002</v>
      </c>
      <c r="D394" s="63">
        <v>84.032110000000003</v>
      </c>
      <c r="E394" s="63">
        <v>100.729305</v>
      </c>
      <c r="F394" s="63">
        <v>16.697196000000002</v>
      </c>
      <c r="G394" s="63">
        <v>84.023849999999996</v>
      </c>
      <c r="H394" s="63">
        <v>100.721045</v>
      </c>
      <c r="I394" s="63">
        <v>204.63610499999999</v>
      </c>
      <c r="J394" s="63">
        <v>204.62784500000001</v>
      </c>
      <c r="K394" s="63">
        <v>0</v>
      </c>
      <c r="L394" s="59"/>
      <c r="M394" s="26"/>
      <c r="N394" s="26"/>
    </row>
    <row r="395" spans="1:14" ht="33" customHeight="1" x14ac:dyDescent="0.35">
      <c r="A395" s="61" t="s">
        <v>64</v>
      </c>
      <c r="B395" s="62">
        <v>36.791522000000001</v>
      </c>
      <c r="C395" s="63">
        <v>20995.304112000002</v>
      </c>
      <c r="D395" s="63">
        <v>105674.60776499999</v>
      </c>
      <c r="E395" s="63">
        <v>126669.911878</v>
      </c>
      <c r="F395" s="63">
        <v>19542.662484</v>
      </c>
      <c r="G395" s="63">
        <v>83558.888219999993</v>
      </c>
      <c r="H395" s="63">
        <v>103101.55070399999</v>
      </c>
      <c r="I395" s="63">
        <v>251661.74843800001</v>
      </c>
      <c r="J395" s="63">
        <v>218618.89095999999</v>
      </c>
      <c r="K395" s="63">
        <v>0</v>
      </c>
      <c r="L395" s="59"/>
      <c r="M395" s="26"/>
      <c r="N395" s="26"/>
    </row>
    <row r="396" spans="1:14" ht="33" customHeight="1" x14ac:dyDescent="0.35">
      <c r="A396" s="64" t="s">
        <v>65</v>
      </c>
      <c r="B396" s="62" t="s">
        <v>66</v>
      </c>
      <c r="C396" s="65">
        <v>302.30354799999998</v>
      </c>
      <c r="D396" s="65">
        <v>1508.459797</v>
      </c>
      <c r="E396" s="65">
        <v>1810.7633450000001</v>
      </c>
      <c r="F396" s="65">
        <v>301.11169200000001</v>
      </c>
      <c r="G396" s="65">
        <v>1261.4950739999999</v>
      </c>
      <c r="H396" s="65">
        <v>1562.6067660000001</v>
      </c>
      <c r="I396" s="65">
        <v>3608.2152649999998</v>
      </c>
      <c r="J396" s="65">
        <v>3142.7308379999999</v>
      </c>
      <c r="K396" s="65">
        <v>0</v>
      </c>
      <c r="L396" s="59"/>
      <c r="M396" s="26"/>
      <c r="N396" s="26"/>
    </row>
    <row r="397" spans="1:14" ht="33" customHeight="1" x14ac:dyDescent="0.35">
      <c r="A397" s="61" t="s">
        <v>68</v>
      </c>
      <c r="B397" s="62">
        <v>0.162663</v>
      </c>
      <c r="C397" s="66"/>
      <c r="D397" s="66"/>
      <c r="E397" s="66"/>
      <c r="F397" s="66"/>
      <c r="G397" s="66"/>
      <c r="H397" s="66"/>
      <c r="I397" s="66"/>
      <c r="J397" s="66"/>
      <c r="K397" s="66"/>
      <c r="L397" s="59"/>
      <c r="M397" s="26"/>
      <c r="N397" s="26"/>
    </row>
    <row r="398" spans="1:14" ht="33" customHeight="1" x14ac:dyDescent="0.35">
      <c r="A398" s="61" t="s">
        <v>69</v>
      </c>
      <c r="B398" s="62">
        <v>9.1354000000000005E-2</v>
      </c>
      <c r="C398" s="66"/>
      <c r="D398" s="66"/>
      <c r="E398" s="66"/>
      <c r="F398" s="66"/>
      <c r="G398" s="66"/>
      <c r="H398" s="66"/>
      <c r="I398" s="66"/>
      <c r="J398" s="66"/>
      <c r="K398" s="66"/>
      <c r="L398" s="59"/>
      <c r="M398" s="26"/>
      <c r="N398" s="26"/>
    </row>
    <row r="399" spans="1:14" ht="33" customHeight="1" x14ac:dyDescent="0.35">
      <c r="A399" s="61" t="s">
        <v>70</v>
      </c>
      <c r="B399" s="62">
        <v>0.18382399999999999</v>
      </c>
      <c r="C399" s="66"/>
      <c r="D399" s="66"/>
      <c r="E399" s="66"/>
      <c r="F399" s="66"/>
      <c r="G399" s="66"/>
      <c r="H399" s="66"/>
      <c r="I399" s="66"/>
      <c r="J399" s="66"/>
      <c r="K399" s="66"/>
      <c r="L399" s="59"/>
      <c r="M399" s="26"/>
      <c r="N399" s="26"/>
    </row>
    <row r="400" spans="1:14" ht="33" customHeight="1" x14ac:dyDescent="0.35">
      <c r="A400" s="61" t="s">
        <v>71</v>
      </c>
      <c r="B400" s="62">
        <v>9.1911999999999994E-2</v>
      </c>
      <c r="C400" s="67"/>
      <c r="D400" s="67"/>
      <c r="E400" s="67"/>
      <c r="F400" s="67"/>
      <c r="G400" s="67"/>
      <c r="H400" s="67"/>
      <c r="I400" s="67"/>
      <c r="J400" s="67"/>
      <c r="K400" s="67"/>
      <c r="L400" s="59"/>
      <c r="M400" s="26"/>
      <c r="N400" s="26"/>
    </row>
    <row r="401" spans="1:14" ht="33" customHeight="1" x14ac:dyDescent="0.35">
      <c r="A401" s="64" t="s">
        <v>72</v>
      </c>
      <c r="B401" s="62" t="s">
        <v>66</v>
      </c>
      <c r="C401" s="65">
        <v>524.49413200000004</v>
      </c>
      <c r="D401" s="65">
        <v>2639.9177989999998</v>
      </c>
      <c r="E401" s="65">
        <v>3164.4119310000001</v>
      </c>
      <c r="F401" s="65">
        <v>488.48815400000001</v>
      </c>
      <c r="G401" s="65">
        <v>2098.2956789999998</v>
      </c>
      <c r="H401" s="65">
        <v>2586.7838310000002</v>
      </c>
      <c r="I401" s="65">
        <v>6282.9760109999997</v>
      </c>
      <c r="J401" s="65">
        <v>5477.2368120000001</v>
      </c>
      <c r="K401" s="65">
        <v>0</v>
      </c>
      <c r="L401" s="59"/>
      <c r="M401" s="26"/>
      <c r="N401" s="26"/>
    </row>
    <row r="402" spans="1:14" ht="33" customHeight="1" x14ac:dyDescent="0.35">
      <c r="A402" s="61" t="s">
        <v>73</v>
      </c>
      <c r="B402" s="62">
        <v>0.64338200000000001</v>
      </c>
      <c r="C402" s="66"/>
      <c r="D402" s="66"/>
      <c r="E402" s="66"/>
      <c r="F402" s="66"/>
      <c r="G402" s="66"/>
      <c r="H402" s="66"/>
      <c r="I402" s="66"/>
      <c r="J402" s="66"/>
      <c r="K402" s="66"/>
      <c r="L402" s="59"/>
      <c r="M402" s="26"/>
      <c r="N402" s="26"/>
    </row>
    <row r="403" spans="1:14" ht="33" customHeight="1" x14ac:dyDescent="0.35">
      <c r="A403" s="61" t="s">
        <v>74</v>
      </c>
      <c r="B403" s="62">
        <v>0.27573500000000001</v>
      </c>
      <c r="C403" s="67"/>
      <c r="D403" s="67"/>
      <c r="E403" s="67"/>
      <c r="F403" s="67"/>
      <c r="G403" s="67"/>
      <c r="H403" s="67"/>
      <c r="I403" s="67"/>
      <c r="J403" s="67"/>
      <c r="K403" s="67"/>
      <c r="L403" s="59"/>
      <c r="M403" s="26"/>
      <c r="N403" s="26"/>
    </row>
    <row r="404" spans="1:14" ht="33" customHeight="1" x14ac:dyDescent="0.35">
      <c r="A404" s="60" t="s">
        <v>75</v>
      </c>
      <c r="B404" s="58">
        <v>87.225684000000001</v>
      </c>
      <c r="C404" s="58">
        <v>48608.582000000002</v>
      </c>
      <c r="D404" s="58">
        <v>242669.261</v>
      </c>
      <c r="E404" s="58">
        <v>291277.842</v>
      </c>
      <c r="F404" s="58">
        <v>47031.112999999998</v>
      </c>
      <c r="G404" s="58">
        <v>201841.72500000001</v>
      </c>
      <c r="H404" s="58">
        <v>248872.83799999999</v>
      </c>
      <c r="I404" s="58">
        <f>SUM(I390:I403)</f>
        <v>586355.21336499997</v>
      </c>
      <c r="J404" s="58">
        <f>SUM(J390:J403)</f>
        <v>514681.920369</v>
      </c>
      <c r="K404" s="58" t="s">
        <v>66</v>
      </c>
      <c r="L404" s="59"/>
      <c r="M404" s="26"/>
      <c r="N404" s="26"/>
    </row>
    <row r="405" spans="1:14" ht="33" customHeight="1" x14ac:dyDescent="0.35">
      <c r="A405" s="60" t="s">
        <v>76</v>
      </c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59"/>
      <c r="M405" s="26"/>
      <c r="N405" s="26"/>
    </row>
    <row r="406" spans="1:14" ht="33" customHeight="1" x14ac:dyDescent="0.35">
      <c r="A406" s="61" t="s">
        <v>78</v>
      </c>
      <c r="B406" s="62">
        <v>0.73392999999999997</v>
      </c>
      <c r="C406" s="63">
        <v>418.81713999999999</v>
      </c>
      <c r="D406" s="63">
        <v>2096.866775</v>
      </c>
      <c r="E406" s="63">
        <v>2515.6839150000001</v>
      </c>
      <c r="F406" s="63">
        <v>1112.6790450000001</v>
      </c>
      <c r="G406" s="63">
        <v>2676.4245529999998</v>
      </c>
      <c r="H406" s="63">
        <v>3789.1035980000001</v>
      </c>
      <c r="I406" s="63">
        <v>5005.9083149999997</v>
      </c>
      <c r="J406" s="63">
        <v>6252.7267410000004</v>
      </c>
      <c r="K406" s="63">
        <v>0</v>
      </c>
      <c r="L406" s="59"/>
      <c r="M406" s="26"/>
      <c r="N406" s="26"/>
    </row>
    <row r="407" spans="1:14" ht="33" customHeight="1" x14ac:dyDescent="0.35">
      <c r="A407" s="60" t="s">
        <v>79</v>
      </c>
      <c r="B407" s="58">
        <v>0.73392999999999997</v>
      </c>
      <c r="C407" s="58">
        <v>418.81700000000001</v>
      </c>
      <c r="D407" s="58">
        <v>2096.8670000000002</v>
      </c>
      <c r="E407" s="58">
        <v>2515.6840000000002</v>
      </c>
      <c r="F407" s="58">
        <v>1112.6790000000001</v>
      </c>
      <c r="G407" s="58">
        <v>2676.4250000000002</v>
      </c>
      <c r="H407" s="58">
        <v>3789.1039999999998</v>
      </c>
      <c r="I407" s="58">
        <v>5005.9080000000004</v>
      </c>
      <c r="J407" s="58">
        <v>6252.7269999999999</v>
      </c>
      <c r="K407" s="58" t="s">
        <v>66</v>
      </c>
      <c r="L407" s="59"/>
      <c r="M407" s="26"/>
      <c r="N407" s="26"/>
    </row>
    <row r="408" spans="1:14" ht="33" customHeight="1" x14ac:dyDescent="0.35">
      <c r="A408" s="60" t="s">
        <v>80</v>
      </c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59"/>
      <c r="M408" s="26"/>
      <c r="N408" s="26"/>
    </row>
    <row r="409" spans="1:14" ht="33" customHeight="1" x14ac:dyDescent="0.35">
      <c r="A409" s="61" t="s">
        <v>81</v>
      </c>
      <c r="B409" s="62">
        <v>11.948473999999999</v>
      </c>
      <c r="C409" s="63">
        <v>6818.3967199999997</v>
      </c>
      <c r="D409" s="63">
        <v>34318.795508000003</v>
      </c>
      <c r="E409" s="63">
        <v>41137.192228</v>
      </c>
      <c r="F409" s="63">
        <v>6652.7707549999996</v>
      </c>
      <c r="G409" s="63">
        <v>32582.255407000001</v>
      </c>
      <c r="H409" s="63">
        <v>39235.026161000002</v>
      </c>
      <c r="I409" s="63">
        <v>81678.364707999994</v>
      </c>
      <c r="J409" s="63">
        <v>79823.408681000001</v>
      </c>
      <c r="K409" s="63">
        <v>0</v>
      </c>
      <c r="L409" s="59"/>
      <c r="M409" s="26"/>
      <c r="N409" s="26"/>
    </row>
    <row r="410" spans="1:14" ht="33" customHeight="1" x14ac:dyDescent="0.35">
      <c r="A410" s="60" t="s">
        <v>82</v>
      </c>
      <c r="B410" s="58">
        <v>11.948473999999999</v>
      </c>
      <c r="C410" s="58">
        <v>6818.3969999999999</v>
      </c>
      <c r="D410" s="58">
        <v>34318.796000000002</v>
      </c>
      <c r="E410" s="58">
        <v>41137.192000000003</v>
      </c>
      <c r="F410" s="58">
        <v>6652.7709999999997</v>
      </c>
      <c r="G410" s="58">
        <v>32582.255000000001</v>
      </c>
      <c r="H410" s="58">
        <v>39235.025999999998</v>
      </c>
      <c r="I410" s="58">
        <v>81678.365000000005</v>
      </c>
      <c r="J410" s="58">
        <v>79823.409</v>
      </c>
      <c r="K410" s="58" t="s">
        <v>66</v>
      </c>
      <c r="L410" s="59"/>
      <c r="M410" s="26"/>
      <c r="N410" s="26"/>
    </row>
    <row r="411" spans="1:14" ht="33" customHeight="1" x14ac:dyDescent="0.35">
      <c r="A411" s="60" t="s">
        <v>83</v>
      </c>
      <c r="B411" s="62"/>
      <c r="C411" s="34"/>
      <c r="D411" s="34"/>
      <c r="E411" s="34"/>
      <c r="F411" s="34"/>
      <c r="G411" s="34"/>
      <c r="H411" s="34"/>
      <c r="I411" s="34"/>
      <c r="J411" s="34"/>
      <c r="K411" s="34"/>
      <c r="L411" s="59"/>
      <c r="M411" s="26"/>
      <c r="N411" s="26"/>
    </row>
    <row r="412" spans="1:14" ht="33" customHeight="1" x14ac:dyDescent="0.35">
      <c r="A412" s="61" t="s">
        <v>87</v>
      </c>
      <c r="B412" s="62">
        <v>0</v>
      </c>
      <c r="C412" s="63">
        <v>0</v>
      </c>
      <c r="D412" s="63">
        <v>0</v>
      </c>
      <c r="E412" s="63">
        <v>0</v>
      </c>
      <c r="F412" s="63">
        <v>0</v>
      </c>
      <c r="G412" s="63">
        <v>0</v>
      </c>
      <c r="H412" s="63">
        <v>0</v>
      </c>
      <c r="I412" s="63">
        <v>0</v>
      </c>
      <c r="J412" s="63">
        <v>0</v>
      </c>
      <c r="K412" s="63">
        <v>0</v>
      </c>
      <c r="L412" s="59"/>
      <c r="M412" s="26"/>
      <c r="N412" s="26"/>
    </row>
    <row r="413" spans="1:14" ht="33" customHeight="1" x14ac:dyDescent="0.35">
      <c r="A413" s="61" t="s">
        <v>90</v>
      </c>
      <c r="B413" s="62">
        <v>0</v>
      </c>
      <c r="C413" s="63">
        <v>0</v>
      </c>
      <c r="D413" s="63">
        <v>0</v>
      </c>
      <c r="E413" s="63">
        <v>0</v>
      </c>
      <c r="F413" s="63">
        <v>0</v>
      </c>
      <c r="G413" s="63">
        <v>0</v>
      </c>
      <c r="H413" s="63">
        <v>0</v>
      </c>
      <c r="I413" s="63">
        <v>0</v>
      </c>
      <c r="J413" s="63">
        <v>0</v>
      </c>
      <c r="K413" s="63">
        <v>0</v>
      </c>
      <c r="L413" s="59"/>
      <c r="M413" s="26"/>
      <c r="N413" s="26"/>
    </row>
    <row r="414" spans="1:14" ht="33" customHeight="1" x14ac:dyDescent="0.35">
      <c r="A414" s="60" t="s">
        <v>91</v>
      </c>
      <c r="B414" s="58"/>
      <c r="C414" s="58">
        <v>0</v>
      </c>
      <c r="D414" s="58">
        <v>0</v>
      </c>
      <c r="E414" s="58">
        <v>0</v>
      </c>
      <c r="F414" s="58">
        <v>0</v>
      </c>
      <c r="G414" s="58">
        <v>0</v>
      </c>
      <c r="H414" s="58">
        <v>0</v>
      </c>
      <c r="I414" s="58">
        <v>0</v>
      </c>
      <c r="J414" s="58">
        <v>0</v>
      </c>
      <c r="K414" s="58" t="s">
        <v>66</v>
      </c>
      <c r="L414" s="59"/>
      <c r="M414" s="26"/>
      <c r="N414" s="26"/>
    </row>
    <row r="415" spans="1:14" ht="33" customHeight="1" x14ac:dyDescent="0.35">
      <c r="A415" s="60" t="s">
        <v>92</v>
      </c>
      <c r="B415" s="62"/>
      <c r="C415" s="34"/>
      <c r="D415" s="34"/>
      <c r="E415" s="34"/>
      <c r="F415" s="34"/>
      <c r="G415" s="34"/>
      <c r="H415" s="34"/>
      <c r="I415" s="34"/>
      <c r="J415" s="34"/>
      <c r="K415" s="34"/>
      <c r="L415" s="59"/>
      <c r="M415" s="26"/>
      <c r="N415" s="26"/>
    </row>
    <row r="416" spans="1:14" ht="33" customHeight="1" x14ac:dyDescent="0.35">
      <c r="A416" s="64" t="s">
        <v>97</v>
      </c>
      <c r="B416" s="62" t="s">
        <v>66</v>
      </c>
      <c r="C416" s="65">
        <v>52.449548</v>
      </c>
      <c r="D416" s="65">
        <v>263.99246099999999</v>
      </c>
      <c r="E416" s="65">
        <v>316.44200899999998</v>
      </c>
      <c r="F416" s="65">
        <v>52.449548</v>
      </c>
      <c r="G416" s="65">
        <v>263.966071</v>
      </c>
      <c r="H416" s="65">
        <v>316.41561899999999</v>
      </c>
      <c r="I416" s="65">
        <v>628.29920900000002</v>
      </c>
      <c r="J416" s="65">
        <v>628.27281900000003</v>
      </c>
      <c r="K416" s="65">
        <v>0</v>
      </c>
      <c r="L416" s="59"/>
      <c r="M416" s="26"/>
      <c r="N416" s="26"/>
    </row>
    <row r="417" spans="1:14" ht="33" customHeight="1" x14ac:dyDescent="0.35">
      <c r="A417" s="61" t="s">
        <v>98</v>
      </c>
      <c r="B417" s="62">
        <v>9.1911999999999994E-2</v>
      </c>
      <c r="C417" s="67"/>
      <c r="D417" s="67"/>
      <c r="E417" s="67"/>
      <c r="F417" s="67"/>
      <c r="G417" s="67"/>
      <c r="H417" s="67"/>
      <c r="I417" s="67"/>
      <c r="J417" s="67"/>
      <c r="K417" s="67"/>
      <c r="L417" s="59"/>
      <c r="M417" s="26"/>
      <c r="N417" s="26"/>
    </row>
    <row r="418" spans="1:14" ht="33" customHeight="1" x14ac:dyDescent="0.35">
      <c r="A418" s="60" t="s">
        <v>99</v>
      </c>
      <c r="B418" s="58">
        <v>9.1911999999999994E-2</v>
      </c>
      <c r="C418" s="58">
        <v>52.45</v>
      </c>
      <c r="D418" s="58">
        <v>263.99200000000002</v>
      </c>
      <c r="E418" s="58">
        <v>316.44200000000001</v>
      </c>
      <c r="F418" s="58">
        <v>52.45</v>
      </c>
      <c r="G418" s="58">
        <v>263.96600000000001</v>
      </c>
      <c r="H418" s="58">
        <v>316.416</v>
      </c>
      <c r="I418" s="58">
        <v>628.29899999999998</v>
      </c>
      <c r="J418" s="58">
        <v>628.27300000000002</v>
      </c>
      <c r="K418" s="58" t="s">
        <v>66</v>
      </c>
      <c r="L418" s="59"/>
      <c r="M418" s="26"/>
      <c r="N418" s="26"/>
    </row>
    <row r="419" spans="1:14" ht="33" customHeight="1" x14ac:dyDescent="0.3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59"/>
      <c r="M419" s="26"/>
      <c r="N419" s="26"/>
    </row>
    <row r="420" spans="1:14" ht="33" customHeight="1" x14ac:dyDescent="0.35">
      <c r="A420" s="61" t="s">
        <v>101</v>
      </c>
      <c r="B420" s="63"/>
      <c r="C420" s="63"/>
      <c r="D420" s="63"/>
      <c r="E420" s="63"/>
      <c r="F420" s="63">
        <v>0</v>
      </c>
      <c r="G420" s="63">
        <v>-1165.4749999999999</v>
      </c>
      <c r="H420" s="63">
        <f>F420+G420</f>
        <v>-1165.4749999999999</v>
      </c>
      <c r="I420" s="63"/>
      <c r="J420" s="63">
        <v>-3054.1174999999998</v>
      </c>
      <c r="K420" s="63"/>
      <c r="L420" s="59"/>
      <c r="M420" s="26"/>
      <c r="N420" s="26"/>
    </row>
    <row r="421" spans="1:14" ht="33" customHeight="1" x14ac:dyDescent="0.35">
      <c r="A421" s="61" t="s">
        <v>102</v>
      </c>
      <c r="B421" s="63"/>
      <c r="C421" s="63"/>
      <c r="D421" s="63"/>
      <c r="E421" s="63"/>
      <c r="F421" s="63">
        <v>267.45</v>
      </c>
      <c r="G421" s="63">
        <v>10890.355401000001</v>
      </c>
      <c r="H421" s="63">
        <f t="shared" ref="H421:H423" si="36">F421+G421</f>
        <v>11157.805401000001</v>
      </c>
      <c r="I421" s="63"/>
      <c r="J421" s="63">
        <v>32664.472992999999</v>
      </c>
      <c r="K421" s="63"/>
      <c r="L421" s="59"/>
      <c r="M421" s="26"/>
      <c r="N421" s="26"/>
    </row>
    <row r="422" spans="1:14" ht="33" customHeight="1" x14ac:dyDescent="0.35">
      <c r="A422" s="61" t="s">
        <v>103</v>
      </c>
      <c r="B422" s="63"/>
      <c r="C422" s="63"/>
      <c r="D422" s="63"/>
      <c r="E422" s="63"/>
      <c r="F422" s="63">
        <v>-267.39499999999998</v>
      </c>
      <c r="G422" s="63">
        <f>-18368.565-791.08</f>
        <v>-19159.645</v>
      </c>
      <c r="H422" s="63">
        <f t="shared" si="36"/>
        <v>-19427.04</v>
      </c>
      <c r="I422" s="63"/>
      <c r="J422" s="63">
        <v>-36230.535000000003</v>
      </c>
      <c r="K422" s="63"/>
      <c r="L422" s="59"/>
      <c r="M422" s="26"/>
      <c r="N422" s="26"/>
    </row>
    <row r="423" spans="1:14" ht="33" customHeight="1" x14ac:dyDescent="0.35">
      <c r="A423" s="61" t="s">
        <v>104</v>
      </c>
      <c r="B423" s="63"/>
      <c r="C423" s="63"/>
      <c r="D423" s="63"/>
      <c r="E423" s="63"/>
      <c r="F423" s="63">
        <v>47.797499999999999</v>
      </c>
      <c r="G423" s="63">
        <f>1180.2375+1621.3675</f>
        <v>2801.605</v>
      </c>
      <c r="H423" s="63">
        <f t="shared" si="36"/>
        <v>2849.4025000000001</v>
      </c>
      <c r="I423" s="63"/>
      <c r="J423" s="63">
        <v>1365.21</v>
      </c>
      <c r="K423" s="63"/>
      <c r="L423" s="59"/>
      <c r="M423" s="26"/>
      <c r="N423" s="26"/>
    </row>
    <row r="424" spans="1:14" ht="33" customHeight="1" x14ac:dyDescent="0.35">
      <c r="A424" s="60" t="s">
        <v>105</v>
      </c>
      <c r="B424" s="58">
        <v>100</v>
      </c>
      <c r="C424" s="58">
        <v>55898.245000000003</v>
      </c>
      <c r="D424" s="58">
        <v>279348.91600000003</v>
      </c>
      <c r="E424" s="58">
        <v>335247.16100000002</v>
      </c>
      <c r="F424" s="58">
        <f t="shared" ref="F424:G424" si="37">F404+F407+F410+F414+F418+F420+F421+F422+F423</f>
        <v>54896.8655</v>
      </c>
      <c r="G424" s="58">
        <f t="shared" si="37"/>
        <v>230731.21140100001</v>
      </c>
      <c r="H424" s="58">
        <f>H404+H407+H410+H414+H418+H420+H421+H422+H423</f>
        <v>285628.07690100011</v>
      </c>
      <c r="I424" s="58">
        <f>I404+I407+I410+I414+I418</f>
        <v>673667.78536500002</v>
      </c>
      <c r="J424" s="58">
        <f>J404+J407+J410+J414+J418+J420+J421+J422+J423</f>
        <v>596131.35986199987</v>
      </c>
      <c r="K424" s="58" t="s">
        <v>66</v>
      </c>
      <c r="L424" s="68"/>
      <c r="M424" s="26"/>
      <c r="N424" s="26"/>
    </row>
    <row r="425" spans="1:14" ht="18.600000000000001" thickBot="1" x14ac:dyDescent="0.4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</row>
    <row r="426" spans="1:14" ht="18" x14ac:dyDescent="0.35">
      <c r="A426" s="25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</row>
    <row r="427" spans="1:14" ht="15.6" customHeight="1" x14ac:dyDescent="0.35">
      <c r="A427" s="38" t="s">
        <v>3</v>
      </c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40"/>
      <c r="M427" s="26"/>
      <c r="N427" s="26"/>
    </row>
    <row r="428" spans="1:14" ht="18" x14ac:dyDescent="0.35">
      <c r="A428" s="41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3"/>
      <c r="M428" s="26"/>
      <c r="N428" s="26"/>
    </row>
    <row r="429" spans="1:14" ht="18" x14ac:dyDescent="0.35">
      <c r="A429" s="44" t="s">
        <v>41</v>
      </c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45"/>
      <c r="M429" s="26"/>
      <c r="N429" s="26"/>
    </row>
    <row r="430" spans="1:14" ht="18" x14ac:dyDescent="0.35">
      <c r="A430" s="46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8"/>
      <c r="M430" s="26"/>
      <c r="N430" s="26"/>
    </row>
    <row r="431" spans="1:14" ht="14.4" customHeight="1" x14ac:dyDescent="0.35">
      <c r="A431" s="49" t="s">
        <v>123</v>
      </c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1"/>
      <c r="M431" s="26"/>
      <c r="N431" s="26"/>
    </row>
    <row r="432" spans="1:14" ht="14.4" customHeight="1" x14ac:dyDescent="0.35">
      <c r="A432" s="52" t="s">
        <v>43</v>
      </c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4"/>
      <c r="M432" s="26"/>
      <c r="N432" s="26"/>
    </row>
    <row r="433" spans="1:14" ht="26.4" customHeight="1" x14ac:dyDescent="0.35">
      <c r="A433" s="55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7"/>
      <c r="M433" s="26"/>
      <c r="N433" s="26"/>
    </row>
    <row r="434" spans="1:14" ht="106.8" customHeight="1" x14ac:dyDescent="0.35">
      <c r="A434" s="58" t="s">
        <v>44</v>
      </c>
      <c r="B434" s="58" t="s">
        <v>45</v>
      </c>
      <c r="C434" s="58" t="s">
        <v>46</v>
      </c>
      <c r="D434" s="58" t="s">
        <v>47</v>
      </c>
      <c r="E434" s="58" t="s">
        <v>48</v>
      </c>
      <c r="F434" s="58" t="s">
        <v>49</v>
      </c>
      <c r="G434" s="58" t="s">
        <v>50</v>
      </c>
      <c r="H434" s="58" t="s">
        <v>51</v>
      </c>
      <c r="I434" s="58" t="s">
        <v>52</v>
      </c>
      <c r="J434" s="58" t="s">
        <v>53</v>
      </c>
      <c r="K434" s="58" t="s">
        <v>54</v>
      </c>
      <c r="L434" s="59"/>
      <c r="M434" s="26"/>
      <c r="N434" s="26"/>
    </row>
    <row r="435" spans="1:14" ht="33" customHeight="1" x14ac:dyDescent="0.35">
      <c r="A435" s="58"/>
      <c r="B435" s="58" t="s">
        <v>55</v>
      </c>
      <c r="C435" s="58" t="s">
        <v>56</v>
      </c>
      <c r="D435" s="58" t="s">
        <v>56</v>
      </c>
      <c r="E435" s="58" t="s">
        <v>56</v>
      </c>
      <c r="F435" s="58" t="s">
        <v>56</v>
      </c>
      <c r="G435" s="58" t="s">
        <v>56</v>
      </c>
      <c r="H435" s="58" t="s">
        <v>56</v>
      </c>
      <c r="I435" s="58" t="s">
        <v>56</v>
      </c>
      <c r="J435" s="58" t="s">
        <v>56</v>
      </c>
      <c r="K435" s="58" t="s">
        <v>56</v>
      </c>
      <c r="L435" s="59"/>
      <c r="M435" s="26"/>
      <c r="N435" s="26"/>
    </row>
    <row r="436" spans="1:14" ht="33" customHeight="1" x14ac:dyDescent="0.35">
      <c r="A436" s="60" t="s">
        <v>57</v>
      </c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59"/>
      <c r="M436" s="26"/>
      <c r="N436" s="26"/>
    </row>
    <row r="437" spans="1:14" ht="33" customHeight="1" x14ac:dyDescent="0.35">
      <c r="A437" s="61" t="s">
        <v>58</v>
      </c>
      <c r="B437" s="62">
        <v>6.4319790000000001</v>
      </c>
      <c r="C437" s="63">
        <v>7542.1252160000004</v>
      </c>
      <c r="D437" s="63">
        <v>38613.782827000003</v>
      </c>
      <c r="E437" s="63">
        <v>46155.908044000003</v>
      </c>
      <c r="F437" s="63">
        <v>7501.9496319999998</v>
      </c>
      <c r="G437" s="63">
        <v>33362.877914999997</v>
      </c>
      <c r="H437" s="63">
        <v>40864.827547000001</v>
      </c>
      <c r="I437" s="63">
        <v>105781.735204</v>
      </c>
      <c r="J437" s="63">
        <v>94158.322985999999</v>
      </c>
      <c r="K437" s="63">
        <v>0</v>
      </c>
      <c r="L437" s="59"/>
      <c r="M437" s="26"/>
      <c r="N437" s="26"/>
    </row>
    <row r="438" spans="1:14" ht="33" customHeight="1" x14ac:dyDescent="0.35">
      <c r="A438" s="61" t="s">
        <v>59</v>
      </c>
      <c r="B438" s="62">
        <v>0</v>
      </c>
      <c r="C438" s="63">
        <v>0</v>
      </c>
      <c r="D438" s="63">
        <v>0</v>
      </c>
      <c r="E438" s="63">
        <v>0</v>
      </c>
      <c r="F438" s="63">
        <v>0</v>
      </c>
      <c r="G438" s="63">
        <v>0</v>
      </c>
      <c r="H438" s="63">
        <v>0</v>
      </c>
      <c r="I438" s="63">
        <v>0</v>
      </c>
      <c r="J438" s="63">
        <v>0</v>
      </c>
      <c r="K438" s="63">
        <v>0</v>
      </c>
      <c r="L438" s="59"/>
      <c r="M438" s="26"/>
      <c r="N438" s="26"/>
    </row>
    <row r="439" spans="1:14" ht="33" customHeight="1" x14ac:dyDescent="0.35">
      <c r="A439" s="61" t="s">
        <v>60</v>
      </c>
      <c r="B439" s="62">
        <v>7.4109910000000001</v>
      </c>
      <c r="C439" s="63">
        <v>9901.3707539999996</v>
      </c>
      <c r="D439" s="63">
        <v>49556.490483000001</v>
      </c>
      <c r="E439" s="63">
        <v>59457.861236999997</v>
      </c>
      <c r="F439" s="63">
        <v>9909.1353230000004</v>
      </c>
      <c r="G439" s="63">
        <v>47389.157566000002</v>
      </c>
      <c r="H439" s="63">
        <v>57298.292889999997</v>
      </c>
      <c r="I439" s="63">
        <v>125940.24159400001</v>
      </c>
      <c r="J439" s="63">
        <v>116435.45509800001</v>
      </c>
      <c r="K439" s="63">
        <v>0</v>
      </c>
      <c r="L439" s="59"/>
      <c r="M439" s="26"/>
      <c r="N439" s="26"/>
    </row>
    <row r="440" spans="1:14" ht="33" customHeight="1" x14ac:dyDescent="0.35">
      <c r="A440" s="61" t="s">
        <v>61</v>
      </c>
      <c r="B440" s="62">
        <v>1.5975250000000001</v>
      </c>
      <c r="C440" s="63">
        <v>2110.9543549999999</v>
      </c>
      <c r="D440" s="63">
        <v>10593.662399000001</v>
      </c>
      <c r="E440" s="63">
        <v>12704.616753</v>
      </c>
      <c r="F440" s="63">
        <v>2108.1978509999999</v>
      </c>
      <c r="G440" s="63">
        <v>9334.4642590000003</v>
      </c>
      <c r="H440" s="63">
        <v>11442.662107</v>
      </c>
      <c r="I440" s="63">
        <v>23467.680742</v>
      </c>
      <c r="J440" s="63">
        <v>20402.206622000002</v>
      </c>
      <c r="K440" s="63">
        <v>0</v>
      </c>
      <c r="L440" s="59"/>
      <c r="M440" s="26"/>
      <c r="N440" s="26"/>
    </row>
    <row r="441" spans="1:14" ht="33" customHeight="1" x14ac:dyDescent="0.35">
      <c r="A441" s="61" t="s">
        <v>63</v>
      </c>
      <c r="B441" s="62">
        <v>4.8360430000000001</v>
      </c>
      <c r="C441" s="63">
        <v>6140.8949149999999</v>
      </c>
      <c r="D441" s="63">
        <v>32315.318975999999</v>
      </c>
      <c r="E441" s="63">
        <v>38456.213893</v>
      </c>
      <c r="F441" s="63">
        <v>6094.587528</v>
      </c>
      <c r="G441" s="63">
        <v>31885.286415999999</v>
      </c>
      <c r="H441" s="63">
        <v>37979.873942999999</v>
      </c>
      <c r="I441" s="63">
        <v>80355.823701999994</v>
      </c>
      <c r="J441" s="63">
        <v>76236.982233000002</v>
      </c>
      <c r="K441" s="63">
        <v>0</v>
      </c>
      <c r="L441" s="59"/>
      <c r="M441" s="26"/>
      <c r="N441" s="26"/>
    </row>
    <row r="442" spans="1:14" ht="33" customHeight="1" x14ac:dyDescent="0.35">
      <c r="A442" s="61" t="s">
        <v>64</v>
      </c>
      <c r="B442" s="62">
        <v>32.728119999999997</v>
      </c>
      <c r="C442" s="63">
        <v>43715.704130999999</v>
      </c>
      <c r="D442" s="63">
        <v>220269.28489099999</v>
      </c>
      <c r="E442" s="63">
        <v>263984.98902099999</v>
      </c>
      <c r="F442" s="63">
        <v>39726.811347000003</v>
      </c>
      <c r="G442" s="63">
        <v>139332.29327600001</v>
      </c>
      <c r="H442" s="63">
        <v>179059.10462200001</v>
      </c>
      <c r="I442" s="63">
        <v>556156.19967100001</v>
      </c>
      <c r="J442" s="63">
        <v>414310.59968099999</v>
      </c>
      <c r="K442" s="63">
        <v>58422.17003935</v>
      </c>
      <c r="L442" s="59"/>
      <c r="M442" s="26"/>
      <c r="N442" s="26"/>
    </row>
    <row r="443" spans="1:14" ht="33" customHeight="1" x14ac:dyDescent="0.35">
      <c r="A443" s="64" t="s">
        <v>65</v>
      </c>
      <c r="B443" s="62" t="s">
        <v>66</v>
      </c>
      <c r="C443" s="65">
        <v>739.36840800000004</v>
      </c>
      <c r="D443" s="65">
        <v>3702.3662549999999</v>
      </c>
      <c r="E443" s="65">
        <v>4441.7346619999998</v>
      </c>
      <c r="F443" s="65">
        <v>737.99375399999997</v>
      </c>
      <c r="G443" s="65">
        <v>3318.0153519999999</v>
      </c>
      <c r="H443" s="65">
        <v>4056.009106</v>
      </c>
      <c r="I443" s="65">
        <v>9377.8454610000008</v>
      </c>
      <c r="J443" s="65">
        <v>8257.7904749999998</v>
      </c>
      <c r="K443" s="65">
        <v>0</v>
      </c>
      <c r="L443" s="59"/>
      <c r="M443" s="26"/>
      <c r="N443" s="26"/>
    </row>
    <row r="444" spans="1:14" ht="33" customHeight="1" x14ac:dyDescent="0.35">
      <c r="A444" s="61" t="s">
        <v>67</v>
      </c>
      <c r="B444" s="62">
        <v>9.9048999999999998E-2</v>
      </c>
      <c r="C444" s="66"/>
      <c r="D444" s="66"/>
      <c r="E444" s="66"/>
      <c r="F444" s="66"/>
      <c r="G444" s="66"/>
      <c r="H444" s="66"/>
      <c r="I444" s="66"/>
      <c r="J444" s="66"/>
      <c r="K444" s="66"/>
      <c r="L444" s="59"/>
      <c r="M444" s="26"/>
      <c r="N444" s="26"/>
    </row>
    <row r="445" spans="1:14" ht="33" customHeight="1" x14ac:dyDescent="0.35">
      <c r="A445" s="61" t="s">
        <v>68</v>
      </c>
      <c r="B445" s="62">
        <v>8.2936999999999997E-2</v>
      </c>
      <c r="C445" s="66"/>
      <c r="D445" s="66"/>
      <c r="E445" s="66"/>
      <c r="F445" s="66"/>
      <c r="G445" s="66"/>
      <c r="H445" s="66"/>
      <c r="I445" s="66"/>
      <c r="J445" s="66"/>
      <c r="K445" s="66"/>
      <c r="L445" s="59"/>
      <c r="M445" s="26"/>
      <c r="N445" s="26"/>
    </row>
    <row r="446" spans="1:14" ht="33" customHeight="1" x14ac:dyDescent="0.35">
      <c r="A446" s="61" t="s">
        <v>69</v>
      </c>
      <c r="B446" s="62">
        <v>9.5839999999999995E-2</v>
      </c>
      <c r="C446" s="66"/>
      <c r="D446" s="66"/>
      <c r="E446" s="66"/>
      <c r="F446" s="66"/>
      <c r="G446" s="66"/>
      <c r="H446" s="66"/>
      <c r="I446" s="66"/>
      <c r="J446" s="66"/>
      <c r="K446" s="66"/>
      <c r="L446" s="59"/>
      <c r="M446" s="26"/>
      <c r="N446" s="26"/>
    </row>
    <row r="447" spans="1:14" ht="33" customHeight="1" x14ac:dyDescent="0.35">
      <c r="A447" s="61" t="s">
        <v>70</v>
      </c>
      <c r="B447" s="62">
        <v>0.18382399999999999</v>
      </c>
      <c r="C447" s="66"/>
      <c r="D447" s="66"/>
      <c r="E447" s="66"/>
      <c r="F447" s="66"/>
      <c r="G447" s="66"/>
      <c r="H447" s="66"/>
      <c r="I447" s="66"/>
      <c r="J447" s="66"/>
      <c r="K447" s="66"/>
      <c r="L447" s="59"/>
      <c r="M447" s="26"/>
      <c r="N447" s="26"/>
    </row>
    <row r="448" spans="1:14" ht="33" customHeight="1" x14ac:dyDescent="0.35">
      <c r="A448" s="61" t="s">
        <v>71</v>
      </c>
      <c r="B448" s="62">
        <v>9.1911999999999994E-2</v>
      </c>
      <c r="C448" s="67"/>
      <c r="D448" s="67"/>
      <c r="E448" s="67"/>
      <c r="F448" s="67"/>
      <c r="G448" s="67"/>
      <c r="H448" s="67"/>
      <c r="I448" s="67"/>
      <c r="J448" s="67"/>
      <c r="K448" s="67"/>
      <c r="L448" s="59"/>
      <c r="M448" s="26"/>
      <c r="N448" s="26"/>
    </row>
    <row r="449" spans="1:14" ht="33" customHeight="1" x14ac:dyDescent="0.35">
      <c r="A449" s="64" t="s">
        <v>72</v>
      </c>
      <c r="B449" s="62" t="s">
        <v>66</v>
      </c>
      <c r="C449" s="65">
        <v>1227.6240740000001</v>
      </c>
      <c r="D449" s="65">
        <v>6185.647379</v>
      </c>
      <c r="E449" s="65">
        <v>7413.271452</v>
      </c>
      <c r="F449" s="65">
        <v>1104.5268940000001</v>
      </c>
      <c r="G449" s="65">
        <v>3908.2586590000001</v>
      </c>
      <c r="H449" s="65">
        <v>5012.7855529999997</v>
      </c>
      <c r="I449" s="65">
        <v>15609.034603</v>
      </c>
      <c r="J449" s="65">
        <v>11366.724548</v>
      </c>
      <c r="K449" s="65">
        <v>1900.9548645499999</v>
      </c>
      <c r="L449" s="59"/>
      <c r="M449" s="26"/>
      <c r="N449" s="26"/>
    </row>
    <row r="450" spans="1:14" ht="33" customHeight="1" x14ac:dyDescent="0.35">
      <c r="A450" s="61" t="s">
        <v>73</v>
      </c>
      <c r="B450" s="62">
        <v>0.64338200000000001</v>
      </c>
      <c r="C450" s="66"/>
      <c r="D450" s="66"/>
      <c r="E450" s="66"/>
      <c r="F450" s="66"/>
      <c r="G450" s="66"/>
      <c r="H450" s="66"/>
      <c r="I450" s="66"/>
      <c r="J450" s="66"/>
      <c r="K450" s="66"/>
      <c r="L450" s="59"/>
      <c r="M450" s="26"/>
      <c r="N450" s="26"/>
    </row>
    <row r="451" spans="1:14" ht="33" customHeight="1" x14ac:dyDescent="0.35">
      <c r="A451" s="61" t="s">
        <v>74</v>
      </c>
      <c r="B451" s="62">
        <v>0.27573500000000001</v>
      </c>
      <c r="C451" s="67"/>
      <c r="D451" s="67"/>
      <c r="E451" s="67"/>
      <c r="F451" s="67"/>
      <c r="G451" s="67"/>
      <c r="H451" s="67"/>
      <c r="I451" s="67"/>
      <c r="J451" s="67"/>
      <c r="K451" s="67"/>
      <c r="L451" s="59"/>
      <c r="M451" s="26"/>
      <c r="N451" s="26"/>
    </row>
    <row r="452" spans="1:14" ht="33" customHeight="1" x14ac:dyDescent="0.35">
      <c r="A452" s="60" t="s">
        <v>75</v>
      </c>
      <c r="B452" s="58">
        <v>54.477336999999999</v>
      </c>
      <c r="C452" s="58">
        <v>71378.042000000001</v>
      </c>
      <c r="D452" s="58">
        <v>361236.55300000001</v>
      </c>
      <c r="E452" s="58">
        <v>432614.59499999997</v>
      </c>
      <c r="F452" s="58">
        <v>67183.202000000005</v>
      </c>
      <c r="G452" s="58">
        <v>268530.353</v>
      </c>
      <c r="H452" s="58">
        <v>335713.55599999998</v>
      </c>
      <c r="I452" s="58">
        <v>916688.56099999999</v>
      </c>
      <c r="J452" s="58">
        <v>741168.08200000005</v>
      </c>
      <c r="K452" s="58" t="s">
        <v>66</v>
      </c>
      <c r="L452" s="59"/>
      <c r="M452" s="26"/>
      <c r="N452" s="26"/>
    </row>
    <row r="453" spans="1:14" ht="33" customHeight="1" x14ac:dyDescent="0.35">
      <c r="A453" s="60" t="s">
        <v>76</v>
      </c>
      <c r="B453" s="62"/>
      <c r="C453" s="34"/>
      <c r="D453" s="34"/>
      <c r="E453" s="34"/>
      <c r="F453" s="34"/>
      <c r="G453" s="34"/>
      <c r="H453" s="34"/>
      <c r="I453" s="34"/>
      <c r="J453" s="34"/>
      <c r="K453" s="34"/>
      <c r="L453" s="59"/>
      <c r="M453" s="26"/>
      <c r="N453" s="26"/>
    </row>
    <row r="454" spans="1:14" ht="33" customHeight="1" x14ac:dyDescent="0.35">
      <c r="A454" s="61" t="s">
        <v>124</v>
      </c>
      <c r="B454" s="62">
        <v>18.897500000000001</v>
      </c>
      <c r="C454" s="63">
        <v>25240.558317999999</v>
      </c>
      <c r="D454" s="63">
        <v>127179.96902400001</v>
      </c>
      <c r="E454" s="63">
        <v>152420.52734100001</v>
      </c>
      <c r="F454" s="63">
        <v>25627.951088000002</v>
      </c>
      <c r="G454" s="63">
        <v>121864.588347</v>
      </c>
      <c r="H454" s="63">
        <v>147492.53943800001</v>
      </c>
      <c r="I454" s="63">
        <v>320929.47246800002</v>
      </c>
      <c r="J454" s="63">
        <v>341286.02957700001</v>
      </c>
      <c r="K454" s="63">
        <v>0</v>
      </c>
      <c r="L454" s="59"/>
      <c r="M454" s="26"/>
      <c r="N454" s="26"/>
    </row>
    <row r="455" spans="1:14" ht="33" customHeight="1" x14ac:dyDescent="0.35">
      <c r="A455" s="61" t="s">
        <v>77</v>
      </c>
      <c r="B455" s="62">
        <v>1.29</v>
      </c>
      <c r="C455" s="63">
        <v>1722.9961760000001</v>
      </c>
      <c r="D455" s="63">
        <v>8681.6859390000009</v>
      </c>
      <c r="E455" s="63">
        <v>10404.682115</v>
      </c>
      <c r="F455" s="63">
        <v>1722.6485640000001</v>
      </c>
      <c r="G455" s="63">
        <v>8377.0035669999997</v>
      </c>
      <c r="H455" s="63">
        <v>10099.652129</v>
      </c>
      <c r="I455" s="63">
        <v>21907.607857999999</v>
      </c>
      <c r="J455" s="63">
        <v>20965.942931000001</v>
      </c>
      <c r="K455" s="63">
        <v>0</v>
      </c>
      <c r="L455" s="59"/>
      <c r="M455" s="26"/>
      <c r="N455" s="26"/>
    </row>
    <row r="456" spans="1:14" ht="33" customHeight="1" x14ac:dyDescent="0.35">
      <c r="A456" s="61" t="s">
        <v>78</v>
      </c>
      <c r="B456" s="62">
        <v>0.75155799999999995</v>
      </c>
      <c r="C456" s="63">
        <v>1003.822907</v>
      </c>
      <c r="D456" s="63">
        <v>5038.4390009999997</v>
      </c>
      <c r="E456" s="63">
        <v>6042.2619070000001</v>
      </c>
      <c r="F456" s="63">
        <v>2784.3526299999999</v>
      </c>
      <c r="G456" s="63">
        <v>7349.4830599999996</v>
      </c>
      <c r="H456" s="63">
        <v>10133.835689</v>
      </c>
      <c r="I456" s="63">
        <v>12743.851999</v>
      </c>
      <c r="J456" s="63">
        <v>16001.014047000001</v>
      </c>
      <c r="K456" s="63">
        <v>0</v>
      </c>
      <c r="L456" s="59"/>
      <c r="M456" s="26"/>
      <c r="N456" s="26"/>
    </row>
    <row r="457" spans="1:14" ht="33" customHeight="1" x14ac:dyDescent="0.35">
      <c r="A457" s="60" t="s">
        <v>79</v>
      </c>
      <c r="B457" s="58">
        <v>20.939057999999999</v>
      </c>
      <c r="C457" s="58">
        <v>27967.377</v>
      </c>
      <c r="D457" s="58">
        <v>140900.09400000001</v>
      </c>
      <c r="E457" s="58">
        <v>168867.47099999999</v>
      </c>
      <c r="F457" s="58">
        <v>30134.952000000001</v>
      </c>
      <c r="G457" s="58">
        <v>137591.07500000001</v>
      </c>
      <c r="H457" s="58">
        <v>167726.027</v>
      </c>
      <c r="I457" s="58">
        <v>355580.93199999997</v>
      </c>
      <c r="J457" s="58">
        <v>378252.98700000002</v>
      </c>
      <c r="K457" s="58" t="s">
        <v>66</v>
      </c>
      <c r="L457" s="59"/>
      <c r="M457" s="26"/>
      <c r="N457" s="26"/>
    </row>
    <row r="458" spans="1:14" ht="33" customHeight="1" x14ac:dyDescent="0.35">
      <c r="A458" s="60" t="s">
        <v>80</v>
      </c>
      <c r="B458" s="62"/>
      <c r="C458" s="34"/>
      <c r="D458" s="34"/>
      <c r="E458" s="34"/>
      <c r="F458" s="34"/>
      <c r="G458" s="34"/>
      <c r="H458" s="34"/>
      <c r="I458" s="34"/>
      <c r="J458" s="34"/>
      <c r="K458" s="34"/>
      <c r="L458" s="59"/>
      <c r="M458" s="26"/>
      <c r="N458" s="26"/>
    </row>
    <row r="459" spans="1:14" ht="33" customHeight="1" x14ac:dyDescent="0.35">
      <c r="A459" s="61" t="s">
        <v>81</v>
      </c>
      <c r="B459" s="62">
        <v>15.95</v>
      </c>
      <c r="C459" s="63">
        <v>21303.712403000001</v>
      </c>
      <c r="D459" s="63">
        <v>107343.326145</v>
      </c>
      <c r="E459" s="63">
        <v>128647.038547</v>
      </c>
      <c r="F459" s="63">
        <v>21256.923802000001</v>
      </c>
      <c r="G459" s="63">
        <v>105373.365634</v>
      </c>
      <c r="H459" s="63">
        <v>126630.28943600001</v>
      </c>
      <c r="I459" s="63">
        <v>270873.13591200003</v>
      </c>
      <c r="J459" s="63">
        <v>268336.93028299999</v>
      </c>
      <c r="K459" s="63">
        <v>0</v>
      </c>
      <c r="L459" s="59"/>
      <c r="M459" s="26"/>
      <c r="N459" s="26"/>
    </row>
    <row r="460" spans="1:14" ht="33" customHeight="1" x14ac:dyDescent="0.35">
      <c r="A460" s="60" t="s">
        <v>82</v>
      </c>
      <c r="B460" s="58">
        <v>15.95</v>
      </c>
      <c r="C460" s="58">
        <v>21303.712</v>
      </c>
      <c r="D460" s="58">
        <v>107343.326</v>
      </c>
      <c r="E460" s="58">
        <v>128647.039</v>
      </c>
      <c r="F460" s="58">
        <v>21256.923999999999</v>
      </c>
      <c r="G460" s="58">
        <v>105373.36599999999</v>
      </c>
      <c r="H460" s="58">
        <v>126630.289</v>
      </c>
      <c r="I460" s="58">
        <v>270873.136</v>
      </c>
      <c r="J460" s="58">
        <v>268336.93</v>
      </c>
      <c r="K460" s="58" t="s">
        <v>66</v>
      </c>
      <c r="L460" s="59"/>
      <c r="M460" s="26"/>
      <c r="N460" s="26"/>
    </row>
    <row r="461" spans="1:14" ht="33" customHeight="1" x14ac:dyDescent="0.35">
      <c r="A461" s="60" t="s">
        <v>83</v>
      </c>
      <c r="B461" s="62"/>
      <c r="C461" s="34"/>
      <c r="D461" s="34"/>
      <c r="E461" s="34"/>
      <c r="F461" s="34"/>
      <c r="G461" s="34"/>
      <c r="H461" s="34"/>
      <c r="I461" s="34"/>
      <c r="J461" s="34"/>
      <c r="K461" s="34"/>
      <c r="L461" s="59"/>
      <c r="M461" s="26"/>
      <c r="N461" s="26"/>
    </row>
    <row r="462" spans="1:14" ht="33" customHeight="1" x14ac:dyDescent="0.35">
      <c r="A462" s="61" t="s">
        <v>84</v>
      </c>
      <c r="B462" s="62">
        <v>1.39</v>
      </c>
      <c r="C462" s="63">
        <v>1856.5617709999999</v>
      </c>
      <c r="D462" s="63">
        <v>9348.5258489999997</v>
      </c>
      <c r="E462" s="63">
        <v>11205.087619</v>
      </c>
      <c r="F462" s="63">
        <v>1809.2783199999999</v>
      </c>
      <c r="G462" s="63">
        <v>8496.2445399999997</v>
      </c>
      <c r="H462" s="63">
        <v>10305.522859999999</v>
      </c>
      <c r="I462" s="63">
        <v>23595.233531999998</v>
      </c>
      <c r="J462" s="63">
        <v>21306.993122</v>
      </c>
      <c r="K462" s="63">
        <v>0</v>
      </c>
      <c r="L462" s="59"/>
      <c r="M462" s="26"/>
      <c r="N462" s="26"/>
    </row>
    <row r="463" spans="1:14" ht="33" customHeight="1" x14ac:dyDescent="0.35">
      <c r="A463" s="61" t="s">
        <v>85</v>
      </c>
      <c r="B463" s="62">
        <v>0.69</v>
      </c>
      <c r="C463" s="63">
        <v>921.60260600000004</v>
      </c>
      <c r="D463" s="63">
        <v>4643.6924790000003</v>
      </c>
      <c r="E463" s="63">
        <v>5565.2950849999997</v>
      </c>
      <c r="F463" s="63">
        <v>921.41667299999995</v>
      </c>
      <c r="G463" s="63">
        <v>4422.8295410000001</v>
      </c>
      <c r="H463" s="63">
        <v>5344.2462150000001</v>
      </c>
      <c r="I463" s="63">
        <v>11718.022808</v>
      </c>
      <c r="J463" s="63">
        <v>10512.056225</v>
      </c>
      <c r="K463" s="63">
        <v>0</v>
      </c>
      <c r="L463" s="59"/>
      <c r="M463" s="26"/>
      <c r="N463" s="26"/>
    </row>
    <row r="464" spans="1:14" ht="33" customHeight="1" x14ac:dyDescent="0.35">
      <c r="A464" s="61" t="s">
        <v>86</v>
      </c>
      <c r="B464" s="62">
        <v>0.85</v>
      </c>
      <c r="C464" s="63">
        <v>1135.307558</v>
      </c>
      <c r="D464" s="63">
        <v>5720.4907350000003</v>
      </c>
      <c r="E464" s="63">
        <v>6855.7982929999998</v>
      </c>
      <c r="F464" s="63">
        <v>1135.0785109999999</v>
      </c>
      <c r="G464" s="63">
        <v>5611.1582150000004</v>
      </c>
      <c r="H464" s="63">
        <v>6746.2367270000004</v>
      </c>
      <c r="I464" s="63">
        <v>14435.245488</v>
      </c>
      <c r="J464" s="63">
        <v>14325.40143</v>
      </c>
      <c r="K464" s="63">
        <v>0</v>
      </c>
      <c r="L464" s="59"/>
      <c r="M464" s="26"/>
      <c r="N464" s="26"/>
    </row>
    <row r="465" spans="1:14" ht="33" customHeight="1" x14ac:dyDescent="0.35">
      <c r="A465" s="61" t="s">
        <v>87</v>
      </c>
      <c r="B465" s="62">
        <v>0</v>
      </c>
      <c r="C465" s="63">
        <v>0</v>
      </c>
      <c r="D465" s="63">
        <v>0</v>
      </c>
      <c r="E465" s="63">
        <v>0</v>
      </c>
      <c r="F465" s="63">
        <v>0</v>
      </c>
      <c r="G465" s="63">
        <v>0</v>
      </c>
      <c r="H465" s="63">
        <v>0</v>
      </c>
      <c r="I465" s="63">
        <v>0</v>
      </c>
      <c r="J465" s="63">
        <v>0</v>
      </c>
      <c r="K465" s="63">
        <v>0</v>
      </c>
      <c r="L465" s="59"/>
      <c r="M465" s="26"/>
      <c r="N465" s="26"/>
    </row>
    <row r="466" spans="1:14" ht="33" customHeight="1" x14ac:dyDescent="0.35">
      <c r="A466" s="61" t="s">
        <v>88</v>
      </c>
      <c r="B466" s="62">
        <v>0</v>
      </c>
      <c r="C466" s="63">
        <v>0</v>
      </c>
      <c r="D466" s="63">
        <v>0</v>
      </c>
      <c r="E466" s="63">
        <v>0</v>
      </c>
      <c r="F466" s="63">
        <v>0</v>
      </c>
      <c r="G466" s="63">
        <v>0</v>
      </c>
      <c r="H466" s="63">
        <v>0</v>
      </c>
      <c r="I466" s="63">
        <v>0</v>
      </c>
      <c r="J466" s="63">
        <v>0</v>
      </c>
      <c r="K466" s="63">
        <v>0</v>
      </c>
      <c r="L466" s="59"/>
      <c r="M466" s="26"/>
      <c r="N466" s="26"/>
    </row>
    <row r="467" spans="1:14" ht="33" customHeight="1" x14ac:dyDescent="0.35">
      <c r="A467" s="61" t="s">
        <v>89</v>
      </c>
      <c r="B467" s="62">
        <v>2.08</v>
      </c>
      <c r="C467" s="63">
        <v>2778.1643760000002</v>
      </c>
      <c r="D467" s="63">
        <v>13998.377328</v>
      </c>
      <c r="E467" s="63">
        <v>16776.541703999999</v>
      </c>
      <c r="F467" s="63">
        <v>2773.2725829999999</v>
      </c>
      <c r="G467" s="63">
        <v>30226.376328999999</v>
      </c>
      <c r="H467" s="63">
        <v>32999.648911999997</v>
      </c>
      <c r="I467" s="63">
        <v>35323.794840000002</v>
      </c>
      <c r="J467" s="63">
        <v>46692.354845000002</v>
      </c>
      <c r="K467" s="63">
        <v>0</v>
      </c>
      <c r="L467" s="59"/>
      <c r="M467" s="26"/>
      <c r="N467" s="26"/>
    </row>
    <row r="468" spans="1:14" ht="33" customHeight="1" x14ac:dyDescent="0.35">
      <c r="A468" s="60" t="s">
        <v>91</v>
      </c>
      <c r="B468" s="58">
        <v>5.01</v>
      </c>
      <c r="C468" s="58">
        <v>6691.6360000000004</v>
      </c>
      <c r="D468" s="58">
        <v>33711.086000000003</v>
      </c>
      <c r="E468" s="58">
        <v>40402.722999999998</v>
      </c>
      <c r="F468" s="58">
        <v>6639.0460000000003</v>
      </c>
      <c r="G468" s="58">
        <v>48756.608999999997</v>
      </c>
      <c r="H468" s="58">
        <v>55395.654999999999</v>
      </c>
      <c r="I468" s="58">
        <v>85072.297000000006</v>
      </c>
      <c r="J468" s="58">
        <v>92836.805999999997</v>
      </c>
      <c r="K468" s="58" t="s">
        <v>66</v>
      </c>
      <c r="L468" s="59"/>
      <c r="M468" s="26"/>
      <c r="N468" s="26"/>
    </row>
    <row r="469" spans="1:14" ht="33" customHeight="1" x14ac:dyDescent="0.35">
      <c r="A469" s="60" t="s">
        <v>92</v>
      </c>
      <c r="B469" s="62"/>
      <c r="C469" s="34"/>
      <c r="D469" s="34"/>
      <c r="E469" s="34"/>
      <c r="F469" s="34"/>
      <c r="G469" s="34"/>
      <c r="H469" s="34"/>
      <c r="I469" s="34"/>
      <c r="J469" s="34"/>
      <c r="K469" s="34"/>
      <c r="L469" s="59"/>
      <c r="M469" s="26"/>
      <c r="N469" s="26"/>
    </row>
    <row r="470" spans="1:14" ht="33" customHeight="1" x14ac:dyDescent="0.35">
      <c r="A470" s="61" t="s">
        <v>93</v>
      </c>
      <c r="B470" s="62">
        <v>0.191917</v>
      </c>
      <c r="C470" s="63">
        <v>256.11006800000001</v>
      </c>
      <c r="D470" s="63">
        <v>1290.7993180000001</v>
      </c>
      <c r="E470" s="63">
        <v>1546.9093849999999</v>
      </c>
      <c r="F470" s="63">
        <v>255.808851</v>
      </c>
      <c r="G470" s="63">
        <v>1289.968543</v>
      </c>
      <c r="H470" s="63">
        <v>1545.7773910000001</v>
      </c>
      <c r="I470" s="63">
        <v>3258.2323879999999</v>
      </c>
      <c r="J470" s="63">
        <v>3257.0366119999999</v>
      </c>
      <c r="K470" s="63">
        <v>0</v>
      </c>
      <c r="L470" s="59"/>
      <c r="M470" s="26"/>
      <c r="N470" s="26"/>
    </row>
    <row r="471" spans="1:14" ht="33" customHeight="1" x14ac:dyDescent="0.35">
      <c r="A471" s="61" t="s">
        <v>94</v>
      </c>
      <c r="B471" s="62">
        <v>0</v>
      </c>
      <c r="C471" s="63">
        <v>0</v>
      </c>
      <c r="D471" s="63">
        <v>0</v>
      </c>
      <c r="E471" s="63">
        <v>0</v>
      </c>
      <c r="F471" s="63">
        <v>0</v>
      </c>
      <c r="G471" s="63">
        <v>0</v>
      </c>
      <c r="H471" s="63">
        <v>0</v>
      </c>
      <c r="I471" s="63">
        <v>0</v>
      </c>
      <c r="J471" s="63">
        <v>0</v>
      </c>
      <c r="K471" s="63">
        <v>0</v>
      </c>
      <c r="L471" s="59"/>
      <c r="M471" s="26"/>
      <c r="N471" s="26"/>
    </row>
    <row r="472" spans="1:14" ht="33" customHeight="1" x14ac:dyDescent="0.35">
      <c r="A472" s="61" t="s">
        <v>95</v>
      </c>
      <c r="B472" s="62">
        <v>0.141736</v>
      </c>
      <c r="C472" s="63">
        <v>189.31053499999999</v>
      </c>
      <c r="D472" s="63">
        <v>953.88174200000003</v>
      </c>
      <c r="E472" s="63">
        <v>1143.1922770000001</v>
      </c>
      <c r="F472" s="63">
        <v>189.27234200000001</v>
      </c>
      <c r="G472" s="63">
        <v>953.80250100000001</v>
      </c>
      <c r="H472" s="63">
        <v>1143.0748430000001</v>
      </c>
      <c r="I472" s="63">
        <v>2407.0518229999998</v>
      </c>
      <c r="J472" s="63">
        <v>2406.887283</v>
      </c>
      <c r="K472" s="63">
        <v>0</v>
      </c>
      <c r="L472" s="59"/>
      <c r="M472" s="26"/>
      <c r="N472" s="26"/>
    </row>
    <row r="473" spans="1:14" ht="33" customHeight="1" x14ac:dyDescent="0.35">
      <c r="A473" s="61" t="s">
        <v>96</v>
      </c>
      <c r="B473" s="62">
        <v>0.42980299999999999</v>
      </c>
      <c r="C473" s="63">
        <v>574.06893100000002</v>
      </c>
      <c r="D473" s="63">
        <v>2892.5694979999998</v>
      </c>
      <c r="E473" s="63">
        <v>3466.6384269999999</v>
      </c>
      <c r="F473" s="63">
        <v>571.360772</v>
      </c>
      <c r="G473" s="63">
        <v>2880.8419840000001</v>
      </c>
      <c r="H473" s="63">
        <v>3452.2027560000001</v>
      </c>
      <c r="I473" s="63">
        <v>7299.1903389999998</v>
      </c>
      <c r="J473" s="63">
        <v>7256.1190939999997</v>
      </c>
      <c r="K473" s="63">
        <v>0</v>
      </c>
      <c r="L473" s="59"/>
      <c r="M473" s="26"/>
      <c r="N473" s="26"/>
    </row>
    <row r="474" spans="1:14" ht="33" customHeight="1" x14ac:dyDescent="0.35">
      <c r="A474" s="64" t="s">
        <v>97</v>
      </c>
      <c r="B474" s="62">
        <v>2.4557370000000001</v>
      </c>
      <c r="C474" s="65">
        <v>3402.7825170000001</v>
      </c>
      <c r="D474" s="65">
        <v>17145.649893999998</v>
      </c>
      <c r="E474" s="65">
        <v>20548.432411000002</v>
      </c>
      <c r="F474" s="65">
        <v>3393.4705399999998</v>
      </c>
      <c r="G474" s="65">
        <v>16019.63953</v>
      </c>
      <c r="H474" s="65">
        <v>19413.110068000002</v>
      </c>
      <c r="I474" s="65">
        <v>43265.809714000003</v>
      </c>
      <c r="J474" s="65">
        <v>41448.375521000002</v>
      </c>
      <c r="K474" s="65">
        <v>0</v>
      </c>
      <c r="L474" s="59"/>
      <c r="M474" s="26"/>
      <c r="N474" s="26"/>
    </row>
    <row r="475" spans="1:14" ht="33" customHeight="1" x14ac:dyDescent="0.35">
      <c r="A475" s="61" t="s">
        <v>98</v>
      </c>
      <c r="B475" s="62">
        <v>9.1911999999999994E-2</v>
      </c>
      <c r="C475" s="67"/>
      <c r="D475" s="67"/>
      <c r="E475" s="67"/>
      <c r="F475" s="67"/>
      <c r="G475" s="67"/>
      <c r="H475" s="67"/>
      <c r="I475" s="67"/>
      <c r="J475" s="67"/>
      <c r="K475" s="67"/>
      <c r="L475" s="59"/>
      <c r="M475" s="26"/>
      <c r="N475" s="26"/>
    </row>
    <row r="476" spans="1:14" ht="33" customHeight="1" x14ac:dyDescent="0.35">
      <c r="A476" s="60" t="s">
        <v>99</v>
      </c>
      <c r="B476" s="58">
        <v>3.311105</v>
      </c>
      <c r="C476" s="58">
        <v>4422.2719999999999</v>
      </c>
      <c r="D476" s="58">
        <v>22282.9</v>
      </c>
      <c r="E476" s="58">
        <v>26705.172999999999</v>
      </c>
      <c r="F476" s="58">
        <v>4409.9129999999996</v>
      </c>
      <c r="G476" s="58">
        <v>21144.253000000001</v>
      </c>
      <c r="H476" s="58">
        <v>25554.165000000001</v>
      </c>
      <c r="I476" s="58">
        <v>56230.284</v>
      </c>
      <c r="J476" s="58">
        <v>54368.419000000002</v>
      </c>
      <c r="K476" s="58" t="s">
        <v>66</v>
      </c>
      <c r="L476" s="59"/>
      <c r="M476" s="26"/>
      <c r="N476" s="26"/>
    </row>
    <row r="477" spans="1:14" ht="33" customHeight="1" x14ac:dyDescent="0.35">
      <c r="A477" s="34"/>
      <c r="B477" s="62"/>
      <c r="C477" s="34"/>
      <c r="D477" s="34"/>
      <c r="E477" s="34"/>
      <c r="F477" s="34"/>
      <c r="G477" s="34"/>
      <c r="H477" s="34"/>
      <c r="I477" s="34"/>
      <c r="J477" s="34"/>
      <c r="K477" s="34"/>
      <c r="L477" s="59"/>
      <c r="M477" s="26"/>
      <c r="N477" s="26"/>
    </row>
    <row r="478" spans="1:14" ht="33" customHeight="1" x14ac:dyDescent="0.35">
      <c r="A478" s="61" t="s">
        <v>100</v>
      </c>
      <c r="B478" s="62">
        <v>0.3125</v>
      </c>
      <c r="C478" s="63">
        <v>417.39248600000002</v>
      </c>
      <c r="D478" s="63">
        <v>2103.121592</v>
      </c>
      <c r="E478" s="63">
        <v>2520.5140780000002</v>
      </c>
      <c r="F478" s="63">
        <v>417.30827799999997</v>
      </c>
      <c r="G478" s="63">
        <v>2102.9468830000001</v>
      </c>
      <c r="H478" s="63">
        <f>F478+G478</f>
        <v>2520.255161</v>
      </c>
      <c r="I478" s="63">
        <v>5307.0755570000001</v>
      </c>
      <c r="J478" s="63">
        <v>5306.7127860000001</v>
      </c>
      <c r="K478" s="63">
        <v>0</v>
      </c>
      <c r="L478" s="59"/>
      <c r="M478" s="26"/>
      <c r="N478" s="26"/>
    </row>
    <row r="479" spans="1:14" ht="33" customHeight="1" x14ac:dyDescent="0.35">
      <c r="A479" s="61" t="s">
        <v>101</v>
      </c>
      <c r="B479" s="62"/>
      <c r="C479" s="63"/>
      <c r="D479" s="63"/>
      <c r="E479" s="63"/>
      <c r="F479" s="63">
        <v>0</v>
      </c>
      <c r="G479" s="63">
        <v>-1373.165</v>
      </c>
      <c r="H479" s="63">
        <f t="shared" ref="H479:H482" si="38">F479+G479</f>
        <v>-1373.165</v>
      </c>
      <c r="I479" s="63"/>
      <c r="J479" s="63">
        <v>-13358.012500000001</v>
      </c>
      <c r="K479" s="63"/>
      <c r="L479" s="59"/>
      <c r="M479" s="26"/>
      <c r="N479" s="26"/>
    </row>
    <row r="480" spans="1:14" ht="33" customHeight="1" x14ac:dyDescent="0.35">
      <c r="A480" s="61" t="s">
        <v>102</v>
      </c>
      <c r="B480" s="62"/>
      <c r="C480" s="63"/>
      <c r="D480" s="63"/>
      <c r="E480" s="63"/>
      <c r="F480" s="63">
        <v>171.7825</v>
      </c>
      <c r="G480" s="63">
        <v>7861.7503909999996</v>
      </c>
      <c r="H480" s="63">
        <f t="shared" si="38"/>
        <v>8033.5328909999998</v>
      </c>
      <c r="I480" s="63"/>
      <c r="J480" s="63">
        <v>33940.351562999997</v>
      </c>
      <c r="K480" s="63"/>
      <c r="L480" s="59"/>
      <c r="M480" s="26"/>
      <c r="N480" s="26"/>
    </row>
    <row r="481" spans="1:14" ht="33" customHeight="1" x14ac:dyDescent="0.35">
      <c r="A481" s="61" t="s">
        <v>103</v>
      </c>
      <c r="B481" s="62"/>
      <c r="C481" s="63"/>
      <c r="D481" s="63"/>
      <c r="E481" s="63"/>
      <c r="F481" s="63">
        <v>-442.59249999999997</v>
      </c>
      <c r="G481" s="63">
        <f>-20805.37-1048.76</f>
        <v>-21854.129999999997</v>
      </c>
      <c r="H481" s="63">
        <f t="shared" si="38"/>
        <v>-22296.722499999996</v>
      </c>
      <c r="I481" s="63"/>
      <c r="J481" s="63">
        <v>-50930.977500000001</v>
      </c>
      <c r="K481" s="63"/>
      <c r="L481" s="59"/>
      <c r="M481" s="26"/>
      <c r="N481" s="26"/>
    </row>
    <row r="482" spans="1:14" ht="33" customHeight="1" x14ac:dyDescent="0.35">
      <c r="A482" s="61" t="s">
        <v>104</v>
      </c>
      <c r="B482" s="62"/>
      <c r="C482" s="63"/>
      <c r="D482" s="63"/>
      <c r="E482" s="63"/>
      <c r="F482" s="63">
        <f>84.115+235.06</f>
        <v>319.17500000000001</v>
      </c>
      <c r="G482" s="63">
        <f>4202.3875+6332.165</f>
        <v>10534.5525</v>
      </c>
      <c r="H482" s="63">
        <f t="shared" si="38"/>
        <v>10853.727499999999</v>
      </c>
      <c r="I482" s="63"/>
      <c r="J482" s="63">
        <v>5952.55</v>
      </c>
      <c r="K482" s="63"/>
      <c r="L482" s="59"/>
      <c r="M482" s="26"/>
      <c r="N482" s="26"/>
    </row>
    <row r="483" spans="1:14" ht="33" customHeight="1" x14ac:dyDescent="0.35">
      <c r="A483" s="60" t="s">
        <v>105</v>
      </c>
      <c r="B483" s="58">
        <v>100</v>
      </c>
      <c r="C483" s="58">
        <v>132180.43299999999</v>
      </c>
      <c r="D483" s="58">
        <v>667577.08200000005</v>
      </c>
      <c r="E483" s="58">
        <v>799757.51399999997</v>
      </c>
      <c r="F483" s="58">
        <f t="shared" ref="F483:G483" si="39">F452+F457+F460+F468+F476+F478+F479+F480+F481+F482</f>
        <v>130089.71027800001</v>
      </c>
      <c r="G483" s="58">
        <f t="shared" si="39"/>
        <v>578667.61077399983</v>
      </c>
      <c r="H483" s="58">
        <f>H452+H457+H460+H468+H476+H478+H479+H480+H481+H482</f>
        <v>708757.320052</v>
      </c>
      <c r="I483" s="58">
        <v>1689752.2860000001</v>
      </c>
      <c r="J483" s="58">
        <v>1515873.8470000001</v>
      </c>
      <c r="K483" s="58" t="s">
        <v>66</v>
      </c>
      <c r="L483" s="68"/>
      <c r="M483" s="26"/>
      <c r="N483" s="26"/>
    </row>
    <row r="484" spans="1:14" ht="18.600000000000001" thickBot="1" x14ac:dyDescent="0.4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</row>
    <row r="485" spans="1:14" ht="18" x14ac:dyDescent="0.35">
      <c r="A485" s="25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</row>
    <row r="486" spans="1:14" ht="15.6" customHeight="1" x14ac:dyDescent="0.35">
      <c r="A486" s="38" t="s">
        <v>3</v>
      </c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40"/>
      <c r="M486" s="26"/>
      <c r="N486" s="26"/>
    </row>
    <row r="487" spans="1:14" ht="18" x14ac:dyDescent="0.35">
      <c r="A487" s="41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3"/>
      <c r="M487" s="26"/>
      <c r="N487" s="26"/>
    </row>
    <row r="488" spans="1:14" ht="18" x14ac:dyDescent="0.35">
      <c r="A488" s="44" t="s">
        <v>41</v>
      </c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45"/>
      <c r="M488" s="26"/>
      <c r="N488" s="26"/>
    </row>
    <row r="489" spans="1:14" ht="18" x14ac:dyDescent="0.35">
      <c r="A489" s="46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8"/>
      <c r="M489" s="26"/>
      <c r="N489" s="26"/>
    </row>
    <row r="490" spans="1:14" ht="14.4" customHeight="1" x14ac:dyDescent="0.35">
      <c r="A490" s="49" t="s">
        <v>125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1"/>
      <c r="M490" s="26"/>
      <c r="N490" s="26"/>
    </row>
    <row r="491" spans="1:14" ht="14.4" customHeight="1" x14ac:dyDescent="0.35">
      <c r="A491" s="52" t="s">
        <v>43</v>
      </c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4"/>
      <c r="M491" s="26"/>
      <c r="N491" s="26"/>
    </row>
    <row r="492" spans="1:14" ht="18" x14ac:dyDescent="0.35">
      <c r="A492" s="55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7"/>
      <c r="M492" s="26"/>
      <c r="N492" s="26"/>
    </row>
    <row r="493" spans="1:14" ht="98.4" customHeight="1" x14ac:dyDescent="0.35">
      <c r="A493" s="58" t="s">
        <v>44</v>
      </c>
      <c r="B493" s="58" t="s">
        <v>45</v>
      </c>
      <c r="C493" s="58" t="s">
        <v>46</v>
      </c>
      <c r="D493" s="58" t="s">
        <v>47</v>
      </c>
      <c r="E493" s="58" t="s">
        <v>48</v>
      </c>
      <c r="F493" s="58" t="s">
        <v>49</v>
      </c>
      <c r="G493" s="58" t="s">
        <v>50</v>
      </c>
      <c r="H493" s="58" t="s">
        <v>51</v>
      </c>
      <c r="I493" s="58" t="s">
        <v>52</v>
      </c>
      <c r="J493" s="58" t="s">
        <v>53</v>
      </c>
      <c r="K493" s="58" t="s">
        <v>54</v>
      </c>
      <c r="L493" s="59"/>
      <c r="M493" s="26"/>
      <c r="N493" s="26"/>
    </row>
    <row r="494" spans="1:14" ht="32.4" customHeight="1" x14ac:dyDescent="0.35">
      <c r="A494" s="58"/>
      <c r="B494" s="58" t="s">
        <v>55</v>
      </c>
      <c r="C494" s="58" t="s">
        <v>56</v>
      </c>
      <c r="D494" s="58" t="s">
        <v>56</v>
      </c>
      <c r="E494" s="58" t="s">
        <v>56</v>
      </c>
      <c r="F494" s="58" t="s">
        <v>56</v>
      </c>
      <c r="G494" s="58" t="s">
        <v>56</v>
      </c>
      <c r="H494" s="58" t="s">
        <v>56</v>
      </c>
      <c r="I494" s="58" t="s">
        <v>56</v>
      </c>
      <c r="J494" s="58" t="s">
        <v>56</v>
      </c>
      <c r="K494" s="58" t="s">
        <v>56</v>
      </c>
      <c r="L494" s="59"/>
      <c r="M494" s="26"/>
      <c r="N494" s="26"/>
    </row>
    <row r="495" spans="1:14" ht="32.4" customHeight="1" x14ac:dyDescent="0.35">
      <c r="A495" s="60" t="s">
        <v>57</v>
      </c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59"/>
      <c r="M495" s="26"/>
      <c r="N495" s="26"/>
    </row>
    <row r="496" spans="1:14" ht="32.4" customHeight="1" x14ac:dyDescent="0.35">
      <c r="A496" s="61" t="s">
        <v>58</v>
      </c>
      <c r="B496" s="62">
        <v>40.118668999999997</v>
      </c>
      <c r="C496" s="63">
        <f>27100.287491+17135.34643725</f>
        <v>44235.633928249998</v>
      </c>
      <c r="D496" s="63">
        <f>181609.191998+31346.6097980002</f>
        <v>212955.80179600019</v>
      </c>
      <c r="E496" s="63">
        <f>C496+D496</f>
        <v>257191.43572425019</v>
      </c>
      <c r="F496" s="63">
        <f>24288.547816+17135.34643725</f>
        <v>41423.894253249993</v>
      </c>
      <c r="G496" s="63">
        <f>161596.865731+31346.6097980002</f>
        <v>192943.47552900019</v>
      </c>
      <c r="H496" s="63">
        <f>F496+G496</f>
        <v>234367.3697822502</v>
      </c>
      <c r="I496" s="63">
        <v>504586.18071725022</v>
      </c>
      <c r="J496" s="63">
        <v>477289.81076725019</v>
      </c>
      <c r="K496" s="63">
        <v>0</v>
      </c>
      <c r="L496" s="59"/>
      <c r="M496" s="26"/>
      <c r="N496" s="26"/>
    </row>
    <row r="497" spans="1:14" ht="32.4" customHeight="1" x14ac:dyDescent="0.35">
      <c r="A497" s="61" t="s">
        <v>59</v>
      </c>
      <c r="B497" s="62">
        <v>0.2</v>
      </c>
      <c r="C497" s="63">
        <v>220.46475000000001</v>
      </c>
      <c r="D497" s="63">
        <v>1096.6714999999999</v>
      </c>
      <c r="E497" s="63">
        <f t="shared" ref="E497:E501" si="40">C497+D497</f>
        <v>1317.13625</v>
      </c>
      <c r="F497" s="63">
        <v>206.56719899999999</v>
      </c>
      <c r="G497" s="63">
        <v>1034.032735</v>
      </c>
      <c r="H497" s="63">
        <f t="shared" ref="H497:H501" si="41">F497+G497</f>
        <v>1240.5999340000001</v>
      </c>
      <c r="I497" s="63">
        <v>2545.5642500000004</v>
      </c>
      <c r="J497" s="63">
        <v>2462.8857280000002</v>
      </c>
      <c r="K497" s="63">
        <v>0</v>
      </c>
      <c r="L497" s="59"/>
      <c r="M497" s="26"/>
      <c r="N497" s="26"/>
    </row>
    <row r="498" spans="1:14" ht="32.4" customHeight="1" x14ac:dyDescent="0.35">
      <c r="A498" s="61" t="s">
        <v>60</v>
      </c>
      <c r="B498" s="62">
        <v>6.6246679999999998</v>
      </c>
      <c r="C498" s="63">
        <v>7302.6517000000003</v>
      </c>
      <c r="D498" s="63">
        <v>36325.105658</v>
      </c>
      <c r="E498" s="63">
        <f t="shared" si="40"/>
        <v>43627.757358000003</v>
      </c>
      <c r="F498" s="63">
        <v>6843.3633239999999</v>
      </c>
      <c r="G498" s="63">
        <v>34240.413499000002</v>
      </c>
      <c r="H498" s="63">
        <f t="shared" si="41"/>
        <v>41083.776823</v>
      </c>
      <c r="I498" s="63">
        <v>84584.474323999995</v>
      </c>
      <c r="J498" s="63">
        <v>81893.487258000008</v>
      </c>
      <c r="K498" s="63">
        <v>0</v>
      </c>
      <c r="L498" s="59"/>
      <c r="M498" s="26"/>
      <c r="N498" s="26"/>
    </row>
    <row r="499" spans="1:14" ht="32.4" customHeight="1" x14ac:dyDescent="0.35">
      <c r="A499" s="61" t="s">
        <v>61</v>
      </c>
      <c r="B499" s="62">
        <v>33.232778000000003</v>
      </c>
      <c r="C499" s="63">
        <v>36632.296321000002</v>
      </c>
      <c r="D499" s="63">
        <v>182229.76648600001</v>
      </c>
      <c r="E499" s="63">
        <f t="shared" si="40"/>
        <v>218862.06280700001</v>
      </c>
      <c r="F499" s="63">
        <v>34314.627412000002</v>
      </c>
      <c r="G499" s="63">
        <v>170923.64656600001</v>
      </c>
      <c r="H499" s="63">
        <f t="shared" si="41"/>
        <v>205238.27397800001</v>
      </c>
      <c r="I499" s="63">
        <v>419757.73584500002</v>
      </c>
      <c r="J499" s="63">
        <v>405015.05859299999</v>
      </c>
      <c r="K499" s="63">
        <v>0</v>
      </c>
      <c r="L499" s="59"/>
      <c r="M499" s="26"/>
      <c r="N499" s="26"/>
    </row>
    <row r="500" spans="1:14" ht="32.4" customHeight="1" x14ac:dyDescent="0.35">
      <c r="A500" s="61" t="s">
        <v>63</v>
      </c>
      <c r="B500" s="62">
        <v>2.1114999999999998E-2</v>
      </c>
      <c r="C500" s="63">
        <v>23.278697000000001</v>
      </c>
      <c r="D500" s="63">
        <v>115.775479</v>
      </c>
      <c r="E500" s="63">
        <f t="shared" si="40"/>
        <v>139.05417600000001</v>
      </c>
      <c r="F500" s="63">
        <v>21.835298000000002</v>
      </c>
      <c r="G500" s="63">
        <v>109.433907</v>
      </c>
      <c r="H500" s="63">
        <f t="shared" si="41"/>
        <v>131.269205</v>
      </c>
      <c r="I500" s="63">
        <v>274.84445099999999</v>
      </c>
      <c r="J500" s="63">
        <v>266.38052499999998</v>
      </c>
      <c r="K500" s="63">
        <v>0</v>
      </c>
      <c r="L500" s="59"/>
      <c r="M500" s="26"/>
      <c r="N500" s="26"/>
    </row>
    <row r="501" spans="1:14" ht="32.4" customHeight="1" x14ac:dyDescent="0.35">
      <c r="A501" s="61" t="s">
        <v>64</v>
      </c>
      <c r="B501" s="62">
        <v>9.9258129999999998</v>
      </c>
      <c r="C501" s="63">
        <v>10941.554282999999</v>
      </c>
      <c r="D501" s="63">
        <v>54426.534467999998</v>
      </c>
      <c r="E501" s="63">
        <f t="shared" si="40"/>
        <v>65368.088750999996</v>
      </c>
      <c r="F501" s="63">
        <v>10029.341397</v>
      </c>
      <c r="G501" s="63">
        <v>50147.287692999998</v>
      </c>
      <c r="H501" s="63">
        <f t="shared" si="41"/>
        <v>60176.629090000002</v>
      </c>
      <c r="I501" s="63">
        <v>126540.572589</v>
      </c>
      <c r="J501" s="63">
        <v>121043.247257</v>
      </c>
      <c r="K501" s="63">
        <v>0</v>
      </c>
      <c r="L501" s="59"/>
      <c r="M501" s="26"/>
      <c r="N501" s="26"/>
    </row>
    <row r="502" spans="1:14" ht="32.4" customHeight="1" x14ac:dyDescent="0.35">
      <c r="A502" s="64" t="s">
        <v>65</v>
      </c>
      <c r="B502" s="62" t="s">
        <v>66</v>
      </c>
      <c r="C502" s="65">
        <v>599.86476600000003</v>
      </c>
      <c r="D502" s="65">
        <v>2983.9445679999999</v>
      </c>
      <c r="E502" s="65">
        <v>3583.8093319999998</v>
      </c>
      <c r="F502" s="65">
        <v>562.05077400000005</v>
      </c>
      <c r="G502" s="65">
        <v>2816.3830130000001</v>
      </c>
      <c r="H502" s="65">
        <v>3378.4337860000001</v>
      </c>
      <c r="I502" s="65">
        <v>6926.251483</v>
      </c>
      <c r="J502" s="65">
        <v>6702.5910039999999</v>
      </c>
      <c r="K502" s="65">
        <v>0</v>
      </c>
      <c r="L502" s="59"/>
      <c r="M502" s="26"/>
      <c r="N502" s="26"/>
    </row>
    <row r="503" spans="1:14" ht="32.4" customHeight="1" x14ac:dyDescent="0.35">
      <c r="A503" s="61" t="s">
        <v>67</v>
      </c>
      <c r="B503" s="62">
        <v>9.9048999999999998E-2</v>
      </c>
      <c r="C503" s="66"/>
      <c r="D503" s="66"/>
      <c r="E503" s="66"/>
      <c r="F503" s="66"/>
      <c r="G503" s="66"/>
      <c r="H503" s="66"/>
      <c r="I503" s="66"/>
      <c r="J503" s="66"/>
      <c r="K503" s="66"/>
      <c r="L503" s="59"/>
      <c r="M503" s="26"/>
      <c r="N503" s="26"/>
    </row>
    <row r="504" spans="1:14" ht="32.4" customHeight="1" x14ac:dyDescent="0.35">
      <c r="A504" s="61" t="s">
        <v>68</v>
      </c>
      <c r="B504" s="62">
        <v>8.2936999999999997E-2</v>
      </c>
      <c r="C504" s="66"/>
      <c r="D504" s="66"/>
      <c r="E504" s="66"/>
      <c r="F504" s="66"/>
      <c r="G504" s="66"/>
      <c r="H504" s="66"/>
      <c r="I504" s="66"/>
      <c r="J504" s="66"/>
      <c r="K504" s="66"/>
      <c r="L504" s="59"/>
      <c r="M504" s="26"/>
      <c r="N504" s="26"/>
    </row>
    <row r="505" spans="1:14" ht="32.4" customHeight="1" x14ac:dyDescent="0.35">
      <c r="A505" s="61" t="s">
        <v>69</v>
      </c>
      <c r="B505" s="62">
        <v>8.6459999999999995E-2</v>
      </c>
      <c r="C505" s="66"/>
      <c r="D505" s="66"/>
      <c r="E505" s="66"/>
      <c r="F505" s="66"/>
      <c r="G505" s="66"/>
      <c r="H505" s="66"/>
      <c r="I505" s="66"/>
      <c r="J505" s="66"/>
      <c r="K505" s="66"/>
      <c r="L505" s="59"/>
      <c r="M505" s="26"/>
      <c r="N505" s="26"/>
    </row>
    <row r="506" spans="1:14" ht="32.4" customHeight="1" x14ac:dyDescent="0.35">
      <c r="A506" s="61" t="s">
        <v>70</v>
      </c>
      <c r="B506" s="62">
        <v>0.18382399999999999</v>
      </c>
      <c r="C506" s="66"/>
      <c r="D506" s="66"/>
      <c r="E506" s="66"/>
      <c r="F506" s="66"/>
      <c r="G506" s="66"/>
      <c r="H506" s="66"/>
      <c r="I506" s="66"/>
      <c r="J506" s="66"/>
      <c r="K506" s="66"/>
      <c r="L506" s="59"/>
      <c r="M506" s="26"/>
      <c r="N506" s="26"/>
    </row>
    <row r="507" spans="1:14" ht="32.4" customHeight="1" x14ac:dyDescent="0.35">
      <c r="A507" s="61" t="s">
        <v>71</v>
      </c>
      <c r="B507" s="62">
        <v>9.1911999999999994E-2</v>
      </c>
      <c r="C507" s="67"/>
      <c r="D507" s="67"/>
      <c r="E507" s="67"/>
      <c r="F507" s="67"/>
      <c r="G507" s="67"/>
      <c r="H507" s="67"/>
      <c r="I507" s="67"/>
      <c r="J507" s="67"/>
      <c r="K507" s="67"/>
      <c r="L507" s="59"/>
      <c r="M507" s="26"/>
      <c r="N507" s="26"/>
    </row>
    <row r="508" spans="1:14" ht="32.4" customHeight="1" x14ac:dyDescent="0.35">
      <c r="A508" s="64" t="s">
        <v>72</v>
      </c>
      <c r="B508" s="62" t="s">
        <v>66</v>
      </c>
      <c r="C508" s="65">
        <v>1013.164461</v>
      </c>
      <c r="D508" s="65">
        <v>5039.846904</v>
      </c>
      <c r="E508" s="65">
        <v>6053.0113650000003</v>
      </c>
      <c r="F508" s="65">
        <v>929.26351199999999</v>
      </c>
      <c r="G508" s="65">
        <v>4631.2819810000001</v>
      </c>
      <c r="H508" s="65">
        <v>5560.5454929999996</v>
      </c>
      <c r="I508" s="65">
        <v>11698.356442</v>
      </c>
      <c r="J508" s="65">
        <v>11177.231922999999</v>
      </c>
      <c r="K508" s="65">
        <v>0</v>
      </c>
      <c r="L508" s="59"/>
      <c r="M508" s="26"/>
      <c r="N508" s="26"/>
    </row>
    <row r="509" spans="1:14" ht="32.4" customHeight="1" x14ac:dyDescent="0.35">
      <c r="A509" s="61" t="s">
        <v>73</v>
      </c>
      <c r="B509" s="62">
        <v>0.64338200000000001</v>
      </c>
      <c r="C509" s="66"/>
      <c r="D509" s="66"/>
      <c r="E509" s="66"/>
      <c r="F509" s="66"/>
      <c r="G509" s="66"/>
      <c r="H509" s="66"/>
      <c r="I509" s="66"/>
      <c r="J509" s="66"/>
      <c r="K509" s="66"/>
      <c r="L509" s="59"/>
      <c r="M509" s="26"/>
      <c r="N509" s="26"/>
    </row>
    <row r="510" spans="1:14" ht="32.4" customHeight="1" x14ac:dyDescent="0.35">
      <c r="A510" s="61" t="s">
        <v>74</v>
      </c>
      <c r="B510" s="62">
        <v>0.27573500000000001</v>
      </c>
      <c r="C510" s="67"/>
      <c r="D510" s="67"/>
      <c r="E510" s="67"/>
      <c r="F510" s="67"/>
      <c r="G510" s="67"/>
      <c r="H510" s="67"/>
      <c r="I510" s="67"/>
      <c r="J510" s="67"/>
      <c r="K510" s="67"/>
      <c r="L510" s="59"/>
      <c r="M510" s="26"/>
      <c r="N510" s="26"/>
    </row>
    <row r="511" spans="1:14" ht="32.4" customHeight="1" x14ac:dyDescent="0.35">
      <c r="A511" s="60" t="s">
        <v>75</v>
      </c>
      <c r="B511" s="58">
        <v>91.586342000000002</v>
      </c>
      <c r="C511" s="58">
        <f>SUM(C496:C510)</f>
        <v>100968.90890625</v>
      </c>
      <c r="D511" s="58">
        <f t="shared" ref="D511:H511" si="42">SUM(D496:D510)</f>
        <v>495173.44685900013</v>
      </c>
      <c r="E511" s="58">
        <f t="shared" si="42"/>
        <v>596142.35576325015</v>
      </c>
      <c r="F511" s="58">
        <f t="shared" si="42"/>
        <v>94330.943169250007</v>
      </c>
      <c r="G511" s="58">
        <f t="shared" si="42"/>
        <v>456845.95492300019</v>
      </c>
      <c r="H511" s="58">
        <f t="shared" si="42"/>
        <v>551176.89809125022</v>
      </c>
      <c r="I511" s="58">
        <f>SUM(I496:I510)</f>
        <v>1156913.9801012503</v>
      </c>
      <c r="J511" s="58">
        <f>SUM(J496:J510)</f>
        <v>1105850.6930552502</v>
      </c>
      <c r="K511" s="58" t="s">
        <v>66</v>
      </c>
      <c r="L511" s="59"/>
      <c r="M511" s="26"/>
      <c r="N511" s="26"/>
    </row>
    <row r="512" spans="1:14" ht="32.4" customHeight="1" x14ac:dyDescent="0.35">
      <c r="A512" s="60" t="s">
        <v>76</v>
      </c>
      <c r="B512" s="62"/>
      <c r="C512" s="34"/>
      <c r="D512" s="34"/>
      <c r="E512" s="34"/>
      <c r="F512" s="34"/>
      <c r="G512" s="34"/>
      <c r="H512" s="34"/>
      <c r="I512" s="34"/>
      <c r="J512" s="34"/>
      <c r="K512" s="34"/>
      <c r="L512" s="59"/>
      <c r="M512" s="26"/>
      <c r="N512" s="26"/>
    </row>
    <row r="513" spans="1:14" ht="32.4" customHeight="1" x14ac:dyDescent="0.35">
      <c r="A513" s="61" t="s">
        <v>77</v>
      </c>
      <c r="B513" s="62">
        <v>0.85</v>
      </c>
      <c r="C513" s="63">
        <v>936.975188</v>
      </c>
      <c r="D513" s="63">
        <v>4660.8538749999998</v>
      </c>
      <c r="E513" s="63">
        <v>5597.8290639999996</v>
      </c>
      <c r="F513" s="63">
        <v>877.91058599999997</v>
      </c>
      <c r="G513" s="63">
        <v>4257.9961169999997</v>
      </c>
      <c r="H513" s="63">
        <v>5135.9067050000003</v>
      </c>
      <c r="I513" s="63">
        <v>10818.648064000001</v>
      </c>
      <c r="J513" s="63">
        <v>10253.061897</v>
      </c>
      <c r="K513" s="63">
        <v>0</v>
      </c>
      <c r="L513" s="59"/>
      <c r="M513" s="26"/>
      <c r="N513" s="26"/>
    </row>
    <row r="514" spans="1:14" ht="32.4" customHeight="1" x14ac:dyDescent="0.35">
      <c r="A514" s="61" t="s">
        <v>78</v>
      </c>
      <c r="B514" s="62">
        <v>0.71287</v>
      </c>
      <c r="C514" s="63">
        <v>785.81351600000005</v>
      </c>
      <c r="D514" s="63">
        <v>3908.920975</v>
      </c>
      <c r="E514" s="63">
        <v>4694.7344899999998</v>
      </c>
      <c r="F514" s="63">
        <v>854.76694199999997</v>
      </c>
      <c r="G514" s="63">
        <v>6440.280444</v>
      </c>
      <c r="H514" s="63">
        <v>7295.0473869999996</v>
      </c>
      <c r="I514" s="63">
        <v>9073.2817400000004</v>
      </c>
      <c r="J514" s="63">
        <v>11811.489362</v>
      </c>
      <c r="K514" s="63">
        <v>0</v>
      </c>
      <c r="L514" s="59"/>
      <c r="M514" s="26"/>
      <c r="N514" s="26"/>
    </row>
    <row r="515" spans="1:14" ht="32.4" customHeight="1" x14ac:dyDescent="0.35">
      <c r="A515" s="60" t="s">
        <v>79</v>
      </c>
      <c r="B515" s="58">
        <v>1.56287</v>
      </c>
      <c r="C515" s="58">
        <v>1722.789</v>
      </c>
      <c r="D515" s="58">
        <v>8569.7749999999996</v>
      </c>
      <c r="E515" s="58">
        <v>10292.564</v>
      </c>
      <c r="F515" s="58">
        <v>1732.6780000000001</v>
      </c>
      <c r="G515" s="58">
        <v>10698.277</v>
      </c>
      <c r="H515" s="58">
        <v>12430.954</v>
      </c>
      <c r="I515" s="58">
        <v>19891.93</v>
      </c>
      <c r="J515" s="58">
        <v>22064.550999999999</v>
      </c>
      <c r="K515" s="58" t="s">
        <v>66</v>
      </c>
      <c r="L515" s="59"/>
      <c r="M515" s="26"/>
      <c r="N515" s="26"/>
    </row>
    <row r="516" spans="1:14" ht="32.4" customHeight="1" x14ac:dyDescent="0.35">
      <c r="A516" s="60" t="s">
        <v>80</v>
      </c>
      <c r="B516" s="62"/>
      <c r="C516" s="34"/>
      <c r="D516" s="34"/>
      <c r="E516" s="34"/>
      <c r="F516" s="34"/>
      <c r="G516" s="34"/>
      <c r="H516" s="34"/>
      <c r="I516" s="34"/>
      <c r="J516" s="34"/>
      <c r="K516" s="34"/>
      <c r="L516" s="59"/>
      <c r="M516" s="26"/>
      <c r="N516" s="26"/>
    </row>
    <row r="517" spans="1:14" ht="32.4" customHeight="1" x14ac:dyDescent="0.35">
      <c r="A517" s="61" t="s">
        <v>81</v>
      </c>
      <c r="B517" s="62">
        <v>2.4</v>
      </c>
      <c r="C517" s="63">
        <v>2645.5770000000002</v>
      </c>
      <c r="D517" s="63">
        <v>13160.058000000001</v>
      </c>
      <c r="E517" s="63">
        <v>15805.635</v>
      </c>
      <c r="F517" s="63">
        <v>2469.378365</v>
      </c>
      <c r="G517" s="63">
        <v>12230.589477</v>
      </c>
      <c r="H517" s="63">
        <v>14699.967842</v>
      </c>
      <c r="I517" s="63">
        <v>30546.771000000001</v>
      </c>
      <c r="J517" s="63">
        <v>29628.238389999999</v>
      </c>
      <c r="K517" s="63">
        <v>0</v>
      </c>
      <c r="L517" s="59"/>
      <c r="M517" s="26"/>
      <c r="N517" s="26"/>
    </row>
    <row r="518" spans="1:14" ht="32.4" customHeight="1" x14ac:dyDescent="0.35">
      <c r="A518" s="60" t="s">
        <v>82</v>
      </c>
      <c r="B518" s="58">
        <v>2.4</v>
      </c>
      <c r="C518" s="58">
        <v>2645.5770000000002</v>
      </c>
      <c r="D518" s="58">
        <v>13160.058000000001</v>
      </c>
      <c r="E518" s="58">
        <v>15805.635</v>
      </c>
      <c r="F518" s="58">
        <v>2469.3780000000002</v>
      </c>
      <c r="G518" s="58">
        <v>12230.589</v>
      </c>
      <c r="H518" s="58">
        <v>14699.968000000001</v>
      </c>
      <c r="I518" s="58">
        <v>30546.771000000001</v>
      </c>
      <c r="J518" s="58">
        <v>29628.238000000001</v>
      </c>
      <c r="K518" s="58" t="s">
        <v>66</v>
      </c>
      <c r="L518" s="59"/>
      <c r="M518" s="26"/>
      <c r="N518" s="26"/>
    </row>
    <row r="519" spans="1:14" ht="32.4" customHeight="1" x14ac:dyDescent="0.35">
      <c r="A519" s="60" t="s">
        <v>83</v>
      </c>
      <c r="B519" s="62"/>
      <c r="C519" s="34"/>
      <c r="D519" s="34"/>
      <c r="E519" s="34"/>
      <c r="F519" s="34"/>
      <c r="G519" s="34"/>
      <c r="H519" s="34"/>
      <c r="I519" s="34"/>
      <c r="J519" s="34"/>
      <c r="K519" s="34"/>
      <c r="L519" s="59"/>
      <c r="M519" s="26"/>
      <c r="N519" s="26"/>
    </row>
    <row r="520" spans="1:14" ht="32.4" customHeight="1" x14ac:dyDescent="0.35">
      <c r="A520" s="61" t="s">
        <v>84</v>
      </c>
      <c r="B520" s="62">
        <v>0</v>
      </c>
      <c r="C520" s="63">
        <v>0</v>
      </c>
      <c r="D520" s="63">
        <v>0</v>
      </c>
      <c r="E520" s="63">
        <v>0</v>
      </c>
      <c r="F520" s="63">
        <v>0</v>
      </c>
      <c r="G520" s="63">
        <v>0</v>
      </c>
      <c r="H520" s="63">
        <v>0</v>
      </c>
      <c r="I520" s="63">
        <v>0</v>
      </c>
      <c r="J520" s="63">
        <v>0</v>
      </c>
      <c r="K520" s="63">
        <v>0</v>
      </c>
      <c r="L520" s="59"/>
      <c r="M520" s="26"/>
      <c r="N520" s="26"/>
    </row>
    <row r="521" spans="1:14" ht="32.4" customHeight="1" x14ac:dyDescent="0.35">
      <c r="A521" s="60" t="s">
        <v>91</v>
      </c>
      <c r="B521" s="58"/>
      <c r="C521" s="58">
        <v>0</v>
      </c>
      <c r="D521" s="58">
        <v>0</v>
      </c>
      <c r="E521" s="58">
        <v>0</v>
      </c>
      <c r="F521" s="58">
        <v>0</v>
      </c>
      <c r="G521" s="58">
        <v>0</v>
      </c>
      <c r="H521" s="58">
        <v>0</v>
      </c>
      <c r="I521" s="58">
        <v>0</v>
      </c>
      <c r="J521" s="58">
        <v>0</v>
      </c>
      <c r="K521" s="58" t="s">
        <v>66</v>
      </c>
      <c r="L521" s="59"/>
      <c r="M521" s="26"/>
      <c r="N521" s="26"/>
    </row>
    <row r="522" spans="1:14" ht="32.4" customHeight="1" x14ac:dyDescent="0.35">
      <c r="A522" s="60" t="s">
        <v>92</v>
      </c>
      <c r="B522" s="62"/>
      <c r="C522" s="34"/>
      <c r="D522" s="34"/>
      <c r="E522" s="34"/>
      <c r="F522" s="34"/>
      <c r="G522" s="34"/>
      <c r="H522" s="34"/>
      <c r="I522" s="34"/>
      <c r="J522" s="34"/>
      <c r="K522" s="34"/>
      <c r="L522" s="59"/>
      <c r="M522" s="26"/>
      <c r="N522" s="26"/>
    </row>
    <row r="523" spans="1:14" ht="32.4" customHeight="1" x14ac:dyDescent="0.35">
      <c r="A523" s="61" t="s">
        <v>93</v>
      </c>
      <c r="B523" s="62">
        <v>0.19689799999999999</v>
      </c>
      <c r="C523" s="63">
        <v>216.945359</v>
      </c>
      <c r="D523" s="63">
        <v>1079.262217</v>
      </c>
      <c r="E523" s="63">
        <v>1296.207576</v>
      </c>
      <c r="F523" s="63">
        <v>203.059349</v>
      </c>
      <c r="G523" s="63">
        <v>1018.5694590000001</v>
      </c>
      <c r="H523" s="63">
        <v>1221.6288039999999</v>
      </c>
      <c r="I523" s="63">
        <v>2505.5827399999998</v>
      </c>
      <c r="J523" s="63">
        <v>2424.9570290000001</v>
      </c>
      <c r="K523" s="63">
        <v>0</v>
      </c>
      <c r="L523" s="59"/>
      <c r="M523" s="26"/>
      <c r="N523" s="26"/>
    </row>
    <row r="524" spans="1:14" ht="32.4" customHeight="1" x14ac:dyDescent="0.35">
      <c r="A524" s="61" t="s">
        <v>94</v>
      </c>
      <c r="B524" s="62">
        <v>0</v>
      </c>
      <c r="C524" s="63">
        <v>0</v>
      </c>
      <c r="D524" s="63">
        <v>0</v>
      </c>
      <c r="E524" s="63">
        <v>0</v>
      </c>
      <c r="F524" s="63">
        <v>0</v>
      </c>
      <c r="G524" s="63">
        <v>0</v>
      </c>
      <c r="H524" s="63">
        <v>0</v>
      </c>
      <c r="I524" s="63">
        <v>0</v>
      </c>
      <c r="J524" s="63">
        <v>0</v>
      </c>
      <c r="K524" s="63">
        <v>0</v>
      </c>
      <c r="L524" s="59"/>
      <c r="M524" s="26"/>
      <c r="N524" s="26"/>
    </row>
    <row r="525" spans="1:14" ht="32.4" customHeight="1" x14ac:dyDescent="0.35">
      <c r="A525" s="61" t="s">
        <v>95</v>
      </c>
      <c r="B525" s="62">
        <v>0.141736</v>
      </c>
      <c r="C525" s="63">
        <v>156.238967</v>
      </c>
      <c r="D525" s="63">
        <v>777.18919500000004</v>
      </c>
      <c r="E525" s="63">
        <v>933.42816300000004</v>
      </c>
      <c r="F525" s="63">
        <v>146.39005</v>
      </c>
      <c r="G525" s="63">
        <v>733.91453999999999</v>
      </c>
      <c r="H525" s="63">
        <v>880.30459199999996</v>
      </c>
      <c r="I525" s="63">
        <v>1803.990552</v>
      </c>
      <c r="J525" s="63">
        <v>1746.5141229999999</v>
      </c>
      <c r="K525" s="63">
        <v>0</v>
      </c>
      <c r="L525" s="59"/>
      <c r="M525" s="26"/>
      <c r="N525" s="26"/>
    </row>
    <row r="526" spans="1:14" ht="32.4" customHeight="1" x14ac:dyDescent="0.35">
      <c r="A526" s="61" t="s">
        <v>96</v>
      </c>
      <c r="B526" s="62">
        <v>0.42482300000000001</v>
      </c>
      <c r="C526" s="63">
        <v>468.29248899999999</v>
      </c>
      <c r="D526" s="63">
        <v>2329.4564220000002</v>
      </c>
      <c r="E526" s="63">
        <v>2797.7489099999998</v>
      </c>
      <c r="F526" s="63">
        <v>438.51598100000001</v>
      </c>
      <c r="G526" s="63">
        <v>2198.6401729999998</v>
      </c>
      <c r="H526" s="63">
        <v>2637.1561539999998</v>
      </c>
      <c r="I526" s="63">
        <v>5407.0713189999997</v>
      </c>
      <c r="J526" s="63">
        <v>5222.8859199999997</v>
      </c>
      <c r="K526" s="63">
        <v>0</v>
      </c>
      <c r="L526" s="59"/>
      <c r="M526" s="26"/>
      <c r="N526" s="26"/>
    </row>
    <row r="527" spans="1:14" ht="32.4" customHeight="1" x14ac:dyDescent="0.35">
      <c r="A527" s="64" t="s">
        <v>97</v>
      </c>
      <c r="B527" s="62">
        <v>2.0954190000000001</v>
      </c>
      <c r="C527" s="65">
        <v>2411.1468869999999</v>
      </c>
      <c r="D527" s="65">
        <v>11993.917733</v>
      </c>
      <c r="E527" s="65">
        <v>14405.064619000001</v>
      </c>
      <c r="F527" s="65">
        <v>2253.2727180000002</v>
      </c>
      <c r="G527" s="65">
        <v>11275.919565</v>
      </c>
      <c r="H527" s="65">
        <v>13529.192282</v>
      </c>
      <c r="I527" s="65">
        <v>27839.957781000001</v>
      </c>
      <c r="J527" s="65">
        <v>26896.910264999999</v>
      </c>
      <c r="K527" s="65">
        <v>0</v>
      </c>
      <c r="L527" s="59"/>
      <c r="M527" s="26"/>
      <c r="N527" s="26"/>
    </row>
    <row r="528" spans="1:14" ht="32.4" customHeight="1" x14ac:dyDescent="0.35">
      <c r="A528" s="61" t="s">
        <v>98</v>
      </c>
      <c r="B528" s="62">
        <v>9.1911999999999994E-2</v>
      </c>
      <c r="C528" s="67"/>
      <c r="D528" s="67"/>
      <c r="E528" s="67"/>
      <c r="F528" s="67"/>
      <c r="G528" s="67"/>
      <c r="H528" s="67"/>
      <c r="I528" s="67"/>
      <c r="J528" s="67"/>
      <c r="K528" s="67"/>
      <c r="L528" s="59"/>
      <c r="M528" s="26"/>
      <c r="N528" s="26"/>
    </row>
    <row r="529" spans="1:14" ht="32.4" customHeight="1" x14ac:dyDescent="0.35">
      <c r="A529" s="60" t="s">
        <v>99</v>
      </c>
      <c r="B529" s="58">
        <v>2.9507880000000002</v>
      </c>
      <c r="C529" s="58">
        <v>3252.6239999999998</v>
      </c>
      <c r="D529" s="58">
        <v>16179.825999999999</v>
      </c>
      <c r="E529" s="58">
        <v>19432.449000000001</v>
      </c>
      <c r="F529" s="58">
        <v>3041.2379999999998</v>
      </c>
      <c r="G529" s="58">
        <v>15227.044</v>
      </c>
      <c r="H529" s="58">
        <v>18268.281999999999</v>
      </c>
      <c r="I529" s="58">
        <v>37556.601999999999</v>
      </c>
      <c r="J529" s="58">
        <v>36291.267</v>
      </c>
      <c r="K529" s="58" t="s">
        <v>66</v>
      </c>
      <c r="L529" s="59"/>
      <c r="M529" s="26"/>
      <c r="N529" s="26"/>
    </row>
    <row r="530" spans="1:14" ht="32.4" customHeight="1" x14ac:dyDescent="0.35">
      <c r="A530" s="34"/>
      <c r="B530" s="62"/>
      <c r="C530" s="34"/>
      <c r="D530" s="34"/>
      <c r="E530" s="34"/>
      <c r="F530" s="34"/>
      <c r="G530" s="34"/>
      <c r="H530" s="34"/>
      <c r="I530" s="34"/>
      <c r="J530" s="34"/>
      <c r="K530" s="34"/>
      <c r="L530" s="59"/>
      <c r="M530" s="26"/>
      <c r="N530" s="26"/>
    </row>
    <row r="531" spans="1:14" ht="32.4" customHeight="1" x14ac:dyDescent="0.35">
      <c r="A531" s="61" t="s">
        <v>100</v>
      </c>
      <c r="B531" s="62">
        <v>1.5</v>
      </c>
      <c r="C531" s="63">
        <v>1653.485625</v>
      </c>
      <c r="D531" s="63">
        <v>8225.0362499999992</v>
      </c>
      <c r="E531" s="63">
        <v>9878.5218750000004</v>
      </c>
      <c r="F531" s="63">
        <v>1549.253978</v>
      </c>
      <c r="G531" s="63">
        <v>7767.0580280000004</v>
      </c>
      <c r="H531" s="63">
        <f>F531+G531</f>
        <v>9316.3120060000001</v>
      </c>
      <c r="I531" s="63">
        <v>18758.131874999999</v>
      </c>
      <c r="J531" s="63">
        <v>18149.856054</v>
      </c>
      <c r="K531" s="63">
        <v>0</v>
      </c>
      <c r="L531" s="59"/>
      <c r="M531" s="26"/>
      <c r="N531" s="26"/>
    </row>
    <row r="532" spans="1:14" ht="32.4" customHeight="1" x14ac:dyDescent="0.35">
      <c r="A532" s="61" t="s">
        <v>101</v>
      </c>
      <c r="B532" s="62"/>
      <c r="C532" s="63"/>
      <c r="D532" s="63"/>
      <c r="E532" s="63"/>
      <c r="F532" s="63">
        <v>-3.32</v>
      </c>
      <c r="G532" s="63">
        <v>-1155.0325</v>
      </c>
      <c r="H532" s="63">
        <f t="shared" ref="H532:H535" si="43">F532+G532</f>
        <v>-1158.3525</v>
      </c>
      <c r="I532" s="63"/>
      <c r="J532" s="63">
        <v>-2330.4299999999998</v>
      </c>
      <c r="K532" s="63"/>
      <c r="L532" s="59"/>
      <c r="M532" s="26"/>
      <c r="N532" s="26"/>
    </row>
    <row r="533" spans="1:14" ht="32.4" customHeight="1" x14ac:dyDescent="0.35">
      <c r="A533" s="61" t="s">
        <v>102</v>
      </c>
      <c r="B533" s="62"/>
      <c r="C533" s="63"/>
      <c r="D533" s="63"/>
      <c r="E533" s="63"/>
      <c r="F533" s="63">
        <v>125.61750000000001</v>
      </c>
      <c r="G533" s="63">
        <v>4815.5150000000003</v>
      </c>
      <c r="H533" s="63">
        <f t="shared" si="43"/>
        <v>4941.1325000000006</v>
      </c>
      <c r="I533" s="63"/>
      <c r="J533" s="63">
        <v>7992.4475000000002</v>
      </c>
      <c r="K533" s="63"/>
      <c r="L533" s="59"/>
      <c r="M533" s="26"/>
      <c r="N533" s="26"/>
    </row>
    <row r="534" spans="1:14" ht="32.4" customHeight="1" x14ac:dyDescent="0.35">
      <c r="A534" s="61" t="s">
        <v>103</v>
      </c>
      <c r="B534" s="62"/>
      <c r="C534" s="63"/>
      <c r="D534" s="63"/>
      <c r="E534" s="63"/>
      <c r="F534" s="63">
        <v>0</v>
      </c>
      <c r="G534" s="63">
        <f>-17249.3225-467.125</f>
        <v>-17716.447499999998</v>
      </c>
      <c r="H534" s="63">
        <f t="shared" si="43"/>
        <v>-17716.447499999998</v>
      </c>
      <c r="I534" s="63"/>
      <c r="J534" s="63">
        <v>-24350.674999999999</v>
      </c>
      <c r="K534" s="63"/>
      <c r="L534" s="59"/>
      <c r="M534" s="26"/>
      <c r="N534" s="26"/>
    </row>
    <row r="535" spans="1:14" ht="32.4" customHeight="1" x14ac:dyDescent="0.35">
      <c r="A535" s="61" t="s">
        <v>104</v>
      </c>
      <c r="B535" s="62"/>
      <c r="C535" s="63"/>
      <c r="D535" s="63"/>
      <c r="E535" s="63"/>
      <c r="F535" s="63">
        <v>0</v>
      </c>
      <c r="G535" s="63">
        <v>0</v>
      </c>
      <c r="H535" s="63">
        <f t="shared" si="43"/>
        <v>0</v>
      </c>
      <c r="I535" s="63"/>
      <c r="J535" s="63">
        <v>525.64499999999998</v>
      </c>
      <c r="K535" s="63"/>
      <c r="L535" s="59"/>
      <c r="M535" s="26"/>
      <c r="N535" s="26"/>
    </row>
    <row r="536" spans="1:14" ht="32.4" customHeight="1" x14ac:dyDescent="0.35">
      <c r="A536" s="60" t="s">
        <v>105</v>
      </c>
      <c r="B536" s="58">
        <v>100</v>
      </c>
      <c r="C536" s="58">
        <f>C511+C515+C518+C521+C529</f>
        <v>108589.89890625</v>
      </c>
      <c r="D536" s="58">
        <f t="shared" ref="D536:E536" si="44">D511+D515+D518+D521+D529</f>
        <v>533083.10585900012</v>
      </c>
      <c r="E536" s="58">
        <f t="shared" si="44"/>
        <v>641673.00376325019</v>
      </c>
      <c r="F536" s="58">
        <f>F511+F515+F518+F521+F529+F531+F532+F533+F534+F535</f>
        <v>103245.78864724998</v>
      </c>
      <c r="G536" s="58">
        <f t="shared" ref="G536:H536" si="45">G511+G515+G518+G521+G529+G531+G532+G533+G534+G535</f>
        <v>488712.95795100019</v>
      </c>
      <c r="H536" s="58">
        <f t="shared" si="45"/>
        <v>591958.74659725011</v>
      </c>
      <c r="I536" s="58">
        <f>I511+I515+I518+I521+I529+I531</f>
        <v>1263667.4149762501</v>
      </c>
      <c r="J536" s="58">
        <f>J511+J515+J521+J529+J531+J532+J533+J534+J535</f>
        <v>1164193.3546092503</v>
      </c>
      <c r="K536" s="58" t="s">
        <v>66</v>
      </c>
      <c r="L536" s="68"/>
      <c r="M536" s="26"/>
      <c r="N536" s="26"/>
    </row>
    <row r="537" spans="1:14" ht="18.600000000000001" thickBot="1" x14ac:dyDescent="0.4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</row>
    <row r="538" spans="1:14" ht="18" x14ac:dyDescent="0.35">
      <c r="A538" s="25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</row>
    <row r="539" spans="1:14" ht="15.6" customHeight="1" x14ac:dyDescent="0.35">
      <c r="A539" s="38" t="s">
        <v>3</v>
      </c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40"/>
      <c r="M539" s="26"/>
      <c r="N539" s="26"/>
    </row>
    <row r="540" spans="1:14" ht="18" x14ac:dyDescent="0.35">
      <c r="A540" s="41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3"/>
      <c r="M540" s="26"/>
      <c r="N540" s="26"/>
    </row>
    <row r="541" spans="1:14" ht="31.2" customHeight="1" x14ac:dyDescent="0.35">
      <c r="A541" s="44" t="s">
        <v>41</v>
      </c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45"/>
      <c r="M541" s="26"/>
      <c r="N541" s="26"/>
    </row>
    <row r="542" spans="1:14" ht="18" x14ac:dyDescent="0.35">
      <c r="A542" s="46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8"/>
      <c r="M542" s="26"/>
      <c r="N542" s="26"/>
    </row>
    <row r="543" spans="1:14" ht="14.4" customHeight="1" x14ac:dyDescent="0.35">
      <c r="A543" s="49" t="s">
        <v>126</v>
      </c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1"/>
      <c r="M543" s="26"/>
      <c r="N543" s="26"/>
    </row>
    <row r="544" spans="1:14" ht="14.4" customHeight="1" x14ac:dyDescent="0.35">
      <c r="A544" s="52" t="s">
        <v>43</v>
      </c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4"/>
      <c r="M544" s="26"/>
      <c r="N544" s="26"/>
    </row>
    <row r="545" spans="1:14" ht="18" x14ac:dyDescent="0.35">
      <c r="A545" s="55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7"/>
      <c r="M545" s="26"/>
      <c r="N545" s="26"/>
    </row>
    <row r="546" spans="1:14" ht="99.6" customHeight="1" x14ac:dyDescent="0.35">
      <c r="A546" s="58" t="s">
        <v>44</v>
      </c>
      <c r="B546" s="58" t="s">
        <v>45</v>
      </c>
      <c r="C546" s="58" t="s">
        <v>46</v>
      </c>
      <c r="D546" s="58" t="s">
        <v>47</v>
      </c>
      <c r="E546" s="58" t="s">
        <v>48</v>
      </c>
      <c r="F546" s="58" t="s">
        <v>49</v>
      </c>
      <c r="G546" s="58" t="s">
        <v>50</v>
      </c>
      <c r="H546" s="58" t="s">
        <v>51</v>
      </c>
      <c r="I546" s="58" t="s">
        <v>52</v>
      </c>
      <c r="J546" s="58" t="s">
        <v>53</v>
      </c>
      <c r="K546" s="58" t="s">
        <v>54</v>
      </c>
      <c r="L546" s="59"/>
      <c r="M546" s="26"/>
      <c r="N546" s="26"/>
    </row>
    <row r="547" spans="1:14" ht="35.4" customHeight="1" x14ac:dyDescent="0.35">
      <c r="A547" s="58"/>
      <c r="B547" s="58" t="s">
        <v>55</v>
      </c>
      <c r="C547" s="58" t="s">
        <v>56</v>
      </c>
      <c r="D547" s="58" t="s">
        <v>56</v>
      </c>
      <c r="E547" s="58" t="s">
        <v>56</v>
      </c>
      <c r="F547" s="58" t="s">
        <v>56</v>
      </c>
      <c r="G547" s="58" t="s">
        <v>56</v>
      </c>
      <c r="H547" s="58" t="s">
        <v>56</v>
      </c>
      <c r="I547" s="58" t="s">
        <v>56</v>
      </c>
      <c r="J547" s="58" t="s">
        <v>56</v>
      </c>
      <c r="K547" s="58" t="s">
        <v>56</v>
      </c>
      <c r="L547" s="59"/>
      <c r="M547" s="26"/>
      <c r="N547" s="26"/>
    </row>
    <row r="548" spans="1:14" ht="35.4" customHeight="1" x14ac:dyDescent="0.35">
      <c r="A548" s="60" t="s">
        <v>57</v>
      </c>
      <c r="B548" s="62"/>
      <c r="C548" s="34"/>
      <c r="D548" s="34"/>
      <c r="E548" s="34"/>
      <c r="F548" s="34"/>
      <c r="G548" s="34"/>
      <c r="H548" s="34"/>
      <c r="I548" s="34"/>
      <c r="J548" s="34"/>
      <c r="K548" s="34"/>
      <c r="L548" s="59"/>
      <c r="M548" s="26"/>
      <c r="N548" s="26"/>
    </row>
    <row r="549" spans="1:14" ht="35.4" customHeight="1" x14ac:dyDescent="0.35">
      <c r="A549" s="61" t="s">
        <v>58</v>
      </c>
      <c r="B549" s="62">
        <v>4.0538499999999997</v>
      </c>
      <c r="C549" s="63">
        <v>6210.9116540000005</v>
      </c>
      <c r="D549" s="63">
        <v>30086.780020999999</v>
      </c>
      <c r="E549" s="63">
        <v>36297.691675000002</v>
      </c>
      <c r="F549" s="63">
        <v>6210.2422829999996</v>
      </c>
      <c r="G549" s="63">
        <v>28540.189159000001</v>
      </c>
      <c r="H549" s="63">
        <v>34750.431441000001</v>
      </c>
      <c r="I549" s="63">
        <v>78878.364700000006</v>
      </c>
      <c r="J549" s="63">
        <v>75827.992950000014</v>
      </c>
      <c r="K549" s="63">
        <v>0</v>
      </c>
      <c r="L549" s="59"/>
      <c r="M549" s="26"/>
      <c r="N549" s="26"/>
    </row>
    <row r="550" spans="1:14" ht="35.4" customHeight="1" x14ac:dyDescent="0.35">
      <c r="A550" s="61" t="s">
        <v>59</v>
      </c>
      <c r="B550" s="62">
        <v>0</v>
      </c>
      <c r="C550" s="63">
        <v>0</v>
      </c>
      <c r="D550" s="63">
        <v>0</v>
      </c>
      <c r="E550" s="63">
        <v>0</v>
      </c>
      <c r="F550" s="63">
        <v>0</v>
      </c>
      <c r="G550" s="63">
        <v>0</v>
      </c>
      <c r="H550" s="63">
        <v>0</v>
      </c>
      <c r="I550" s="63">
        <v>0</v>
      </c>
      <c r="J550" s="63">
        <v>0</v>
      </c>
      <c r="K550" s="63">
        <v>0</v>
      </c>
      <c r="L550" s="59"/>
      <c r="M550" s="26"/>
      <c r="N550" s="26"/>
    </row>
    <row r="551" spans="1:14" ht="35.4" customHeight="1" x14ac:dyDescent="0.35">
      <c r="A551" s="61" t="s">
        <v>60</v>
      </c>
      <c r="B551" s="62">
        <v>0.64979699999999996</v>
      </c>
      <c r="C551" s="63">
        <v>1057.817039</v>
      </c>
      <c r="D551" s="63">
        <v>5249.4886409999999</v>
      </c>
      <c r="E551" s="63">
        <v>6307.3056770000003</v>
      </c>
      <c r="F551" s="63">
        <v>1130.5754380000001</v>
      </c>
      <c r="G551" s="63">
        <v>5402.9119479999999</v>
      </c>
      <c r="H551" s="63">
        <v>6533.4873850000004</v>
      </c>
      <c r="I551" s="63">
        <v>13178.135037</v>
      </c>
      <c r="J551" s="63">
        <v>14157.426873</v>
      </c>
      <c r="K551" s="63">
        <v>0</v>
      </c>
      <c r="L551" s="59"/>
      <c r="M551" s="26"/>
      <c r="N551" s="26"/>
    </row>
    <row r="552" spans="1:14" ht="35.4" customHeight="1" x14ac:dyDescent="0.35">
      <c r="A552" s="61" t="s">
        <v>61</v>
      </c>
      <c r="B552" s="62">
        <v>3.0568629999999999</v>
      </c>
      <c r="C552" s="63">
        <v>4959.0979120000002</v>
      </c>
      <c r="D552" s="63">
        <v>24600.825972999999</v>
      </c>
      <c r="E552" s="63">
        <v>29559.923884</v>
      </c>
      <c r="F552" s="63">
        <v>4951.6970369999999</v>
      </c>
      <c r="G552" s="63">
        <v>23112.186286</v>
      </c>
      <c r="H552" s="63">
        <v>28063.883322999998</v>
      </c>
      <c r="I552" s="63">
        <v>57950.682581000001</v>
      </c>
      <c r="J552" s="63">
        <v>54897.354202999995</v>
      </c>
      <c r="K552" s="63">
        <v>0</v>
      </c>
      <c r="L552" s="59"/>
      <c r="M552" s="26"/>
      <c r="N552" s="26"/>
    </row>
    <row r="553" spans="1:14" ht="35.4" customHeight="1" x14ac:dyDescent="0.35">
      <c r="A553" s="61" t="s">
        <v>63</v>
      </c>
      <c r="B553" s="62">
        <v>1.4839E-2</v>
      </c>
      <c r="C553" s="63">
        <v>24.155985999999999</v>
      </c>
      <c r="D553" s="63">
        <v>119.875731</v>
      </c>
      <c r="E553" s="63">
        <v>144.03171699999999</v>
      </c>
      <c r="F553" s="63">
        <v>24.426214000000002</v>
      </c>
      <c r="G553" s="63">
        <v>391.451368</v>
      </c>
      <c r="H553" s="63">
        <v>415.87758400000001</v>
      </c>
      <c r="I553" s="63">
        <v>300.92813899999999</v>
      </c>
      <c r="J553" s="63">
        <v>669.74944500000004</v>
      </c>
      <c r="K553" s="63">
        <v>0</v>
      </c>
      <c r="L553" s="59"/>
      <c r="M553" s="26"/>
      <c r="N553" s="26"/>
    </row>
    <row r="554" spans="1:14" ht="35.4" customHeight="1" x14ac:dyDescent="0.35">
      <c r="A554" s="61" t="s">
        <v>64</v>
      </c>
      <c r="B554" s="62">
        <v>0.503027</v>
      </c>
      <c r="C554" s="63">
        <v>818.88657599999999</v>
      </c>
      <c r="D554" s="63">
        <v>4063.7800860000002</v>
      </c>
      <c r="E554" s="63">
        <v>4882.6666619999996</v>
      </c>
      <c r="F554" s="63">
        <v>793.09863900000005</v>
      </c>
      <c r="G554" s="63">
        <v>3809.0019269999998</v>
      </c>
      <c r="H554" s="63">
        <v>4602.1005660000001</v>
      </c>
      <c r="I554" s="63">
        <v>10201.576622</v>
      </c>
      <c r="J554" s="63">
        <v>9765.4082789999993</v>
      </c>
      <c r="K554" s="63">
        <v>0</v>
      </c>
      <c r="L554" s="59"/>
      <c r="M554" s="26"/>
      <c r="N554" s="26"/>
    </row>
    <row r="555" spans="1:14" ht="35.4" customHeight="1" x14ac:dyDescent="0.35">
      <c r="A555" s="64" t="s">
        <v>65</v>
      </c>
      <c r="B555" s="62" t="s">
        <v>66</v>
      </c>
      <c r="C555" s="65">
        <v>927.73045400000001</v>
      </c>
      <c r="D555" s="65">
        <v>4603.3025019999995</v>
      </c>
      <c r="E555" s="65">
        <v>5531.032956</v>
      </c>
      <c r="F555" s="65">
        <v>926.424038</v>
      </c>
      <c r="G555" s="65">
        <v>4349.0300189999998</v>
      </c>
      <c r="H555" s="65">
        <v>5275.4540550000002</v>
      </c>
      <c r="I555" s="65">
        <v>11293.638197</v>
      </c>
      <c r="J555" s="65">
        <v>10742.641919</v>
      </c>
      <c r="K555" s="65">
        <v>0</v>
      </c>
      <c r="L555" s="59"/>
      <c r="M555" s="26"/>
      <c r="N555" s="26"/>
    </row>
    <row r="556" spans="1:14" ht="35.4" customHeight="1" x14ac:dyDescent="0.35">
      <c r="A556" s="61" t="s">
        <v>67</v>
      </c>
      <c r="B556" s="62">
        <v>0.106629</v>
      </c>
      <c r="C556" s="66"/>
      <c r="D556" s="66"/>
      <c r="E556" s="66"/>
      <c r="F556" s="66"/>
      <c r="G556" s="66"/>
      <c r="H556" s="66"/>
      <c r="I556" s="66"/>
      <c r="J556" s="66"/>
      <c r="K556" s="66"/>
      <c r="L556" s="59"/>
      <c r="M556" s="26"/>
      <c r="N556" s="26"/>
    </row>
    <row r="557" spans="1:14" ht="35.4" customHeight="1" x14ac:dyDescent="0.35">
      <c r="A557" s="61" t="s">
        <v>68</v>
      </c>
      <c r="B557" s="62">
        <v>8.9285000000000003E-2</v>
      </c>
      <c r="C557" s="66"/>
      <c r="D557" s="66"/>
      <c r="E557" s="66"/>
      <c r="F557" s="66"/>
      <c r="G557" s="66"/>
      <c r="H557" s="66"/>
      <c r="I557" s="66"/>
      <c r="J557" s="66"/>
      <c r="K557" s="66"/>
      <c r="L557" s="59"/>
      <c r="M557" s="26"/>
      <c r="N557" s="26"/>
    </row>
    <row r="558" spans="1:14" ht="35.4" customHeight="1" x14ac:dyDescent="0.35">
      <c r="A558" s="61" t="s">
        <v>69</v>
      </c>
      <c r="B558" s="62">
        <v>9.8966999999999999E-2</v>
      </c>
      <c r="C558" s="66"/>
      <c r="D558" s="66"/>
      <c r="E558" s="66"/>
      <c r="F558" s="66"/>
      <c r="G558" s="66"/>
      <c r="H558" s="66"/>
      <c r="I558" s="66"/>
      <c r="J558" s="66"/>
      <c r="K558" s="66"/>
      <c r="L558" s="59"/>
      <c r="M558" s="26"/>
      <c r="N558" s="26"/>
    </row>
    <row r="559" spans="1:14" ht="35.4" customHeight="1" x14ac:dyDescent="0.35">
      <c r="A559" s="61" t="s">
        <v>70</v>
      </c>
      <c r="B559" s="62">
        <v>0.27573599999999998</v>
      </c>
      <c r="C559" s="67"/>
      <c r="D559" s="67"/>
      <c r="E559" s="67"/>
      <c r="F559" s="67"/>
      <c r="G559" s="67"/>
      <c r="H559" s="67"/>
      <c r="I559" s="67"/>
      <c r="J559" s="67"/>
      <c r="K559" s="67"/>
      <c r="L559" s="59"/>
      <c r="M559" s="26"/>
      <c r="N559" s="26"/>
    </row>
    <row r="560" spans="1:14" ht="35.4" customHeight="1" x14ac:dyDescent="0.35">
      <c r="A560" s="64" t="s">
        <v>72</v>
      </c>
      <c r="B560" s="62" t="s">
        <v>66</v>
      </c>
      <c r="C560" s="65">
        <v>1494.3349169999999</v>
      </c>
      <c r="D560" s="65">
        <v>7414.735318</v>
      </c>
      <c r="E560" s="65">
        <v>8909.0702359999996</v>
      </c>
      <c r="F560" s="65">
        <v>1434.872016</v>
      </c>
      <c r="G560" s="65">
        <v>6750.1108160000003</v>
      </c>
      <c r="H560" s="65">
        <v>8184.9828280000002</v>
      </c>
      <c r="I560" s="65">
        <v>18191.144049999999</v>
      </c>
      <c r="J560" s="65">
        <v>17060.156518</v>
      </c>
      <c r="K560" s="65">
        <v>0</v>
      </c>
      <c r="L560" s="59"/>
      <c r="M560" s="26"/>
      <c r="N560" s="26"/>
    </row>
    <row r="561" spans="1:14" ht="35.4" customHeight="1" x14ac:dyDescent="0.35">
      <c r="A561" s="61" t="s">
        <v>73</v>
      </c>
      <c r="B561" s="62">
        <v>0.91911699999999996</v>
      </c>
      <c r="C561" s="67"/>
      <c r="D561" s="67"/>
      <c r="E561" s="67"/>
      <c r="F561" s="67"/>
      <c r="G561" s="67"/>
      <c r="H561" s="67"/>
      <c r="I561" s="67"/>
      <c r="J561" s="67"/>
      <c r="K561" s="67"/>
      <c r="L561" s="59"/>
      <c r="M561" s="26"/>
      <c r="N561" s="26"/>
    </row>
    <row r="562" spans="1:14" ht="35.4" customHeight="1" x14ac:dyDescent="0.35">
      <c r="A562" s="60" t="s">
        <v>75</v>
      </c>
      <c r="B562" s="58">
        <v>9.7681100000000001</v>
      </c>
      <c r="C562" s="58">
        <v>15492.934999999999</v>
      </c>
      <c r="D562" s="58">
        <v>76138.788</v>
      </c>
      <c r="E562" s="58">
        <v>91631.722999999998</v>
      </c>
      <c r="F562" s="58">
        <v>15471.335999999999</v>
      </c>
      <c r="G562" s="58">
        <v>72354.881999999998</v>
      </c>
      <c r="H562" s="58">
        <v>87826.217000000004</v>
      </c>
      <c r="I562" s="58">
        <f>SUM(I549:I561)</f>
        <v>189994.46932599999</v>
      </c>
      <c r="J562" s="58">
        <f>SUM(J549:J561)</f>
        <v>183120.73018699998</v>
      </c>
      <c r="K562" s="58" t="s">
        <v>66</v>
      </c>
      <c r="L562" s="59"/>
      <c r="M562" s="26"/>
      <c r="N562" s="26"/>
    </row>
    <row r="563" spans="1:14" ht="35.4" customHeight="1" x14ac:dyDescent="0.35">
      <c r="A563" s="60" t="s">
        <v>76</v>
      </c>
      <c r="B563" s="62"/>
      <c r="C563" s="34"/>
      <c r="D563" s="34"/>
      <c r="E563" s="34"/>
      <c r="F563" s="34"/>
      <c r="G563" s="34"/>
      <c r="H563" s="34"/>
      <c r="I563" s="34"/>
      <c r="J563" s="34"/>
      <c r="K563" s="34"/>
      <c r="L563" s="59"/>
      <c r="M563" s="26"/>
      <c r="N563" s="26"/>
    </row>
    <row r="564" spans="1:14" ht="35.4" customHeight="1" x14ac:dyDescent="0.35">
      <c r="A564" s="61" t="s">
        <v>78</v>
      </c>
      <c r="B564" s="62">
        <v>0.76311200000000001</v>
      </c>
      <c r="C564" s="63">
        <v>1240.6961180000001</v>
      </c>
      <c r="D564" s="63">
        <v>6156.2058209999996</v>
      </c>
      <c r="E564" s="63">
        <v>7396.901938</v>
      </c>
      <c r="F564" s="63">
        <v>1528.6401619999999</v>
      </c>
      <c r="G564" s="63">
        <v>7056.2532300000003</v>
      </c>
      <c r="H564" s="63">
        <v>8584.8933880000004</v>
      </c>
      <c r="I564" s="63">
        <v>15103.496169</v>
      </c>
      <c r="J564" s="63">
        <v>19874.152503000001</v>
      </c>
      <c r="K564" s="63">
        <v>0</v>
      </c>
      <c r="L564" s="59"/>
      <c r="M564" s="26"/>
      <c r="N564" s="26"/>
    </row>
    <row r="565" spans="1:14" ht="35.4" customHeight="1" x14ac:dyDescent="0.35">
      <c r="A565" s="60" t="s">
        <v>79</v>
      </c>
      <c r="B565" s="58">
        <v>0.76311200000000001</v>
      </c>
      <c r="C565" s="58">
        <v>1240.6959999999999</v>
      </c>
      <c r="D565" s="58">
        <v>6156.2060000000001</v>
      </c>
      <c r="E565" s="58">
        <v>7396.902</v>
      </c>
      <c r="F565" s="58">
        <v>1528.64</v>
      </c>
      <c r="G565" s="58">
        <v>7056.2529999999997</v>
      </c>
      <c r="H565" s="58">
        <v>8584.893</v>
      </c>
      <c r="I565" s="58">
        <v>15103.495999999999</v>
      </c>
      <c r="J565" s="58">
        <v>19874.152999999998</v>
      </c>
      <c r="K565" s="58" t="s">
        <v>66</v>
      </c>
      <c r="L565" s="59"/>
      <c r="M565" s="26"/>
      <c r="N565" s="26"/>
    </row>
    <row r="566" spans="1:14" ht="35.4" customHeight="1" x14ac:dyDescent="0.35">
      <c r="A566" s="60" t="s">
        <v>80</v>
      </c>
      <c r="B566" s="62"/>
      <c r="C566" s="34"/>
      <c r="D566" s="34"/>
      <c r="E566" s="34"/>
      <c r="F566" s="34"/>
      <c r="G566" s="34"/>
      <c r="H566" s="34"/>
      <c r="I566" s="34"/>
      <c r="J566" s="34"/>
      <c r="K566" s="34"/>
      <c r="L566" s="59"/>
      <c r="M566" s="26"/>
      <c r="N566" s="26"/>
    </row>
    <row r="567" spans="1:14" ht="35.4" customHeight="1" x14ac:dyDescent="0.35">
      <c r="A567" s="61" t="s">
        <v>127</v>
      </c>
      <c r="B567" s="62">
        <v>2</v>
      </c>
      <c r="C567" s="63">
        <v>3251.6750000000002</v>
      </c>
      <c r="D567" s="63">
        <v>16134.475</v>
      </c>
      <c r="E567" s="63">
        <v>19386.150000000001</v>
      </c>
      <c r="F567" s="63">
        <v>3101.5503760000001</v>
      </c>
      <c r="G567" s="63">
        <v>13708.899178</v>
      </c>
      <c r="H567" s="63">
        <v>16810.449551999998</v>
      </c>
      <c r="I567" s="63">
        <v>39583.956250000003</v>
      </c>
      <c r="J567" s="63">
        <v>33941.985073000003</v>
      </c>
      <c r="K567" s="63">
        <v>0</v>
      </c>
      <c r="L567" s="59"/>
      <c r="M567" s="26"/>
      <c r="N567" s="26"/>
    </row>
    <row r="568" spans="1:14" ht="35.4" customHeight="1" x14ac:dyDescent="0.35">
      <c r="A568" s="61" t="s">
        <v>128</v>
      </c>
      <c r="B568" s="62">
        <v>0.33</v>
      </c>
      <c r="C568" s="63">
        <v>536.52637500000003</v>
      </c>
      <c r="D568" s="63">
        <v>2662.1883750000002</v>
      </c>
      <c r="E568" s="63">
        <v>3198.7147500000001</v>
      </c>
      <c r="F568" s="63">
        <v>536.496984</v>
      </c>
      <c r="G568" s="63">
        <v>2644.8140659999999</v>
      </c>
      <c r="H568" s="63">
        <v>3181.3110499999998</v>
      </c>
      <c r="I568" s="63">
        <v>6531.3527809999996</v>
      </c>
      <c r="J568" s="63">
        <v>6513.8454410000004</v>
      </c>
      <c r="K568" s="63">
        <v>0</v>
      </c>
      <c r="L568" s="59"/>
      <c r="M568" s="26"/>
      <c r="N568" s="26"/>
    </row>
    <row r="569" spans="1:14" ht="35.4" customHeight="1" x14ac:dyDescent="0.35">
      <c r="A569" s="61" t="s">
        <v>81</v>
      </c>
      <c r="B569" s="62">
        <v>9.73</v>
      </c>
      <c r="C569" s="63">
        <v>15819.398875000001</v>
      </c>
      <c r="D569" s="63">
        <v>78494.220874999999</v>
      </c>
      <c r="E569" s="63">
        <v>94313.619749999998</v>
      </c>
      <c r="F569" s="63">
        <v>15779.802726</v>
      </c>
      <c r="G569" s="63">
        <v>75290.481534999999</v>
      </c>
      <c r="H569" s="63">
        <v>91070.284262000001</v>
      </c>
      <c r="I569" s="63">
        <v>192575.94715600001</v>
      </c>
      <c r="J569" s="63">
        <v>189473.17800099999</v>
      </c>
      <c r="K569" s="63">
        <v>0</v>
      </c>
      <c r="L569" s="59"/>
      <c r="M569" s="26"/>
      <c r="N569" s="26"/>
    </row>
    <row r="570" spans="1:14" ht="35.4" customHeight="1" x14ac:dyDescent="0.35">
      <c r="A570" s="61" t="s">
        <v>129</v>
      </c>
      <c r="B570" s="62">
        <v>4.93</v>
      </c>
      <c r="C570" s="63">
        <v>8015.3788750000003</v>
      </c>
      <c r="D570" s="63">
        <v>39771.480875000001</v>
      </c>
      <c r="E570" s="63">
        <v>47786.859750000003</v>
      </c>
      <c r="F570" s="63">
        <v>8001.2845809999999</v>
      </c>
      <c r="G570" s="63">
        <v>39548.631283000002</v>
      </c>
      <c r="H570" s="63">
        <v>47549.915863000002</v>
      </c>
      <c r="I570" s="63">
        <v>97574.452155999999</v>
      </c>
      <c r="J570" s="63">
        <v>96211.674866999994</v>
      </c>
      <c r="K570" s="63">
        <v>0</v>
      </c>
      <c r="L570" s="59"/>
      <c r="M570" s="26"/>
      <c r="N570" s="26"/>
    </row>
    <row r="571" spans="1:14" ht="35.4" customHeight="1" x14ac:dyDescent="0.35">
      <c r="A571" s="61" t="s">
        <v>130</v>
      </c>
      <c r="B571" s="62">
        <v>9.8699999999999992</v>
      </c>
      <c r="C571" s="63">
        <v>16047.016125</v>
      </c>
      <c r="D571" s="63">
        <v>79623.634124999997</v>
      </c>
      <c r="E571" s="63">
        <v>95670.650250000006</v>
      </c>
      <c r="F571" s="63">
        <v>16089.065140000001</v>
      </c>
      <c r="G571" s="63">
        <v>79280.741009000005</v>
      </c>
      <c r="H571" s="63">
        <v>95369.806148000003</v>
      </c>
      <c r="I571" s="63">
        <v>195346.82409400001</v>
      </c>
      <c r="J571" s="63">
        <v>195565.13930099999</v>
      </c>
      <c r="K571" s="63">
        <v>0</v>
      </c>
      <c r="L571" s="59"/>
      <c r="M571" s="26"/>
      <c r="N571" s="26"/>
    </row>
    <row r="572" spans="1:14" ht="35.4" customHeight="1" x14ac:dyDescent="0.35">
      <c r="A572" s="60" t="s">
        <v>82</v>
      </c>
      <c r="B572" s="58">
        <v>26.86</v>
      </c>
      <c r="C572" s="58">
        <v>43669.995000000003</v>
      </c>
      <c r="D572" s="58">
        <v>216685.99900000001</v>
      </c>
      <c r="E572" s="58">
        <v>260355.995</v>
      </c>
      <c r="F572" s="58">
        <v>43508.2</v>
      </c>
      <c r="G572" s="58">
        <v>210473.56700000001</v>
      </c>
      <c r="H572" s="58">
        <v>253981.76699999999</v>
      </c>
      <c r="I572" s="58">
        <v>531612.53200000001</v>
      </c>
      <c r="J572" s="58">
        <v>521705.82299999997</v>
      </c>
      <c r="K572" s="58" t="s">
        <v>66</v>
      </c>
      <c r="L572" s="59"/>
      <c r="M572" s="26"/>
      <c r="N572" s="26"/>
    </row>
    <row r="573" spans="1:14" ht="35.4" customHeight="1" x14ac:dyDescent="0.35">
      <c r="A573" s="60" t="s">
        <v>83</v>
      </c>
      <c r="B573" s="62"/>
      <c r="C573" s="34"/>
      <c r="D573" s="34"/>
      <c r="E573" s="34"/>
      <c r="F573" s="34"/>
      <c r="G573" s="34"/>
      <c r="H573" s="34"/>
      <c r="I573" s="34"/>
      <c r="J573" s="34"/>
      <c r="K573" s="34"/>
      <c r="L573" s="59"/>
      <c r="M573" s="26"/>
      <c r="N573" s="26"/>
    </row>
    <row r="574" spans="1:14" ht="35.4" customHeight="1" x14ac:dyDescent="0.35">
      <c r="A574" s="61" t="s">
        <v>131</v>
      </c>
      <c r="B574" s="62">
        <v>0.2</v>
      </c>
      <c r="C574" s="63">
        <v>325.16750000000002</v>
      </c>
      <c r="D574" s="63">
        <v>1613.4475</v>
      </c>
      <c r="E574" s="63">
        <v>1938.615</v>
      </c>
      <c r="F574" s="63">
        <v>325.14968800000003</v>
      </c>
      <c r="G574" s="63">
        <v>1613.3744349999999</v>
      </c>
      <c r="H574" s="63">
        <v>1938.5241229999999</v>
      </c>
      <c r="I574" s="63">
        <v>3958.3956250000001</v>
      </c>
      <c r="J574" s="63">
        <v>3958.2419359999999</v>
      </c>
      <c r="K574" s="63">
        <v>0</v>
      </c>
      <c r="L574" s="59"/>
      <c r="M574" s="26"/>
      <c r="N574" s="26"/>
    </row>
    <row r="575" spans="1:14" ht="35.4" customHeight="1" x14ac:dyDescent="0.35">
      <c r="A575" s="61" t="s">
        <v>84</v>
      </c>
      <c r="B575" s="62">
        <v>10.49</v>
      </c>
      <c r="C575" s="63">
        <v>17054.635375000002</v>
      </c>
      <c r="D575" s="63">
        <v>84454.696375</v>
      </c>
      <c r="E575" s="63">
        <v>101509.33175</v>
      </c>
      <c r="F575" s="63">
        <v>16836.587673000002</v>
      </c>
      <c r="G575" s="63">
        <v>79270.679218000005</v>
      </c>
      <c r="H575" s="63">
        <v>96107.266889999999</v>
      </c>
      <c r="I575" s="63">
        <v>207318.725531</v>
      </c>
      <c r="J575" s="63">
        <v>196264.20658</v>
      </c>
      <c r="K575" s="63">
        <v>0</v>
      </c>
      <c r="L575" s="59"/>
      <c r="M575" s="26"/>
      <c r="N575" s="26"/>
    </row>
    <row r="576" spans="1:14" ht="35.4" customHeight="1" x14ac:dyDescent="0.35">
      <c r="A576" s="61" t="s">
        <v>85</v>
      </c>
      <c r="B576" s="62">
        <v>4.58</v>
      </c>
      <c r="C576" s="63">
        <v>7446.3357500000002</v>
      </c>
      <c r="D576" s="63">
        <v>36947.947749999999</v>
      </c>
      <c r="E576" s="63">
        <v>44394.283499999998</v>
      </c>
      <c r="F576" s="63">
        <v>7445.9278450000002</v>
      </c>
      <c r="G576" s="63">
        <v>35894.230667999997</v>
      </c>
      <c r="H576" s="63">
        <v>43340.158514000002</v>
      </c>
      <c r="I576" s="63">
        <v>90623.559813</v>
      </c>
      <c r="J576" s="63">
        <v>82422.930934000004</v>
      </c>
      <c r="K576" s="63">
        <v>0</v>
      </c>
      <c r="L576" s="59"/>
      <c r="M576" s="26"/>
      <c r="N576" s="26"/>
    </row>
    <row r="577" spans="1:14" ht="35.4" customHeight="1" x14ac:dyDescent="0.35">
      <c r="A577" s="61" t="s">
        <v>132</v>
      </c>
      <c r="B577" s="62">
        <v>1.53</v>
      </c>
      <c r="C577" s="63">
        <v>2486.9813749999998</v>
      </c>
      <c r="D577" s="63">
        <v>12330.948375</v>
      </c>
      <c r="E577" s="63">
        <v>14817.929749999999</v>
      </c>
      <c r="F577" s="63">
        <v>2422.064903</v>
      </c>
      <c r="G577" s="63">
        <v>11113.182937</v>
      </c>
      <c r="H577" s="63">
        <v>13535.247837999999</v>
      </c>
      <c r="I577" s="63">
        <v>29851.776531</v>
      </c>
      <c r="J577" s="63">
        <v>28457.760000999999</v>
      </c>
      <c r="K577" s="63">
        <v>0</v>
      </c>
      <c r="L577" s="59"/>
      <c r="M577" s="26"/>
      <c r="N577" s="26"/>
    </row>
    <row r="578" spans="1:14" ht="35.4" customHeight="1" x14ac:dyDescent="0.35">
      <c r="A578" s="61" t="s">
        <v>86</v>
      </c>
      <c r="B578" s="62">
        <v>5.56</v>
      </c>
      <c r="C578" s="63">
        <v>9039.6564999999991</v>
      </c>
      <c r="D578" s="63">
        <v>44853.840499999998</v>
      </c>
      <c r="E578" s="63">
        <v>53893.497000000003</v>
      </c>
      <c r="F578" s="63">
        <v>8950.6816959999996</v>
      </c>
      <c r="G578" s="63">
        <v>43179.794474000002</v>
      </c>
      <c r="H578" s="63">
        <v>52130.476169000001</v>
      </c>
      <c r="I578" s="63">
        <v>110043.398375</v>
      </c>
      <c r="J578" s="63">
        <v>108278.631355</v>
      </c>
      <c r="K578" s="63">
        <v>0</v>
      </c>
      <c r="L578" s="59"/>
      <c r="M578" s="26"/>
      <c r="N578" s="26"/>
    </row>
    <row r="579" spans="1:14" ht="35.4" customHeight="1" x14ac:dyDescent="0.35">
      <c r="A579" s="61" t="s">
        <v>87</v>
      </c>
      <c r="B579" s="62">
        <v>8.02</v>
      </c>
      <c r="C579" s="63">
        <v>13039.21675</v>
      </c>
      <c r="D579" s="63">
        <v>64699.244749999998</v>
      </c>
      <c r="E579" s="63">
        <v>77738.461500000005</v>
      </c>
      <c r="F579" s="63">
        <v>12978.032596999999</v>
      </c>
      <c r="G579" s="63">
        <v>62965.005340999996</v>
      </c>
      <c r="H579" s="63">
        <v>75943.037939000002</v>
      </c>
      <c r="I579" s="63">
        <v>158731.664563</v>
      </c>
      <c r="J579" s="63">
        <v>152507.24511600001</v>
      </c>
      <c r="K579" s="63">
        <v>0</v>
      </c>
      <c r="L579" s="59"/>
      <c r="M579" s="26"/>
      <c r="N579" s="26"/>
    </row>
    <row r="580" spans="1:14" ht="35.4" customHeight="1" x14ac:dyDescent="0.35">
      <c r="A580" s="61" t="s">
        <v>88</v>
      </c>
      <c r="B580" s="62">
        <v>7.11</v>
      </c>
      <c r="C580" s="63">
        <v>11559.704625</v>
      </c>
      <c r="D580" s="63">
        <v>57358.058624999998</v>
      </c>
      <c r="E580" s="63">
        <v>68917.763250000004</v>
      </c>
      <c r="F580" s="63">
        <v>11568.069115</v>
      </c>
      <c r="G580" s="63">
        <v>57116.847621000001</v>
      </c>
      <c r="H580" s="63">
        <v>68684.916735999999</v>
      </c>
      <c r="I580" s="63">
        <v>140720.964469</v>
      </c>
      <c r="J580" s="63">
        <v>139198.045304</v>
      </c>
      <c r="K580" s="63">
        <v>0</v>
      </c>
      <c r="L580" s="59"/>
      <c r="M580" s="26"/>
      <c r="N580" s="26"/>
    </row>
    <row r="581" spans="1:14" ht="35.4" customHeight="1" x14ac:dyDescent="0.35">
      <c r="A581" s="61" t="s">
        <v>89</v>
      </c>
      <c r="B581" s="62">
        <v>16.73</v>
      </c>
      <c r="C581" s="63">
        <v>27200.261374999998</v>
      </c>
      <c r="D581" s="63">
        <v>134964.883375</v>
      </c>
      <c r="E581" s="63">
        <v>162165.14475000001</v>
      </c>
      <c r="F581" s="63">
        <v>27077.950247000001</v>
      </c>
      <c r="G581" s="63">
        <v>130154.19943399999</v>
      </c>
      <c r="H581" s="63">
        <v>157232.14968199999</v>
      </c>
      <c r="I581" s="63">
        <v>331119.794031</v>
      </c>
      <c r="J581" s="63">
        <v>298818.28332599998</v>
      </c>
      <c r="K581" s="63">
        <v>0</v>
      </c>
      <c r="L581" s="59"/>
      <c r="M581" s="26"/>
      <c r="N581" s="26"/>
    </row>
    <row r="582" spans="1:14" ht="35.4" customHeight="1" x14ac:dyDescent="0.35">
      <c r="A582" s="61" t="s">
        <v>90</v>
      </c>
      <c r="B582" s="62">
        <v>1.87</v>
      </c>
      <c r="C582" s="63">
        <v>3040.3161249999998</v>
      </c>
      <c r="D582" s="63">
        <v>15085.734125000001</v>
      </c>
      <c r="E582" s="63">
        <v>18126.05025</v>
      </c>
      <c r="F582" s="63">
        <v>3040.1495789999999</v>
      </c>
      <c r="G582" s="63">
        <v>14643.795717000001</v>
      </c>
      <c r="H582" s="63">
        <v>17683.945295000001</v>
      </c>
      <c r="I582" s="63">
        <v>37010.999093999999</v>
      </c>
      <c r="J582" s="63">
        <v>36145.386081999997</v>
      </c>
      <c r="K582" s="63">
        <v>0</v>
      </c>
      <c r="L582" s="59"/>
      <c r="M582" s="26"/>
      <c r="N582" s="26"/>
    </row>
    <row r="583" spans="1:14" ht="35.4" customHeight="1" x14ac:dyDescent="0.35">
      <c r="A583" s="60" t="s">
        <v>91</v>
      </c>
      <c r="B583" s="58">
        <v>56.09</v>
      </c>
      <c r="C583" s="58">
        <v>91192.274999999994</v>
      </c>
      <c r="D583" s="58">
        <v>452308.80099999998</v>
      </c>
      <c r="E583" s="58">
        <v>543501.07700000005</v>
      </c>
      <c r="F583" s="58">
        <v>90644.612999999998</v>
      </c>
      <c r="G583" s="58">
        <v>435951.11</v>
      </c>
      <c r="H583" s="58">
        <v>526595.723</v>
      </c>
      <c r="I583" s="58">
        <v>1109379.2779999999</v>
      </c>
      <c r="J583" s="58">
        <v>1046050.731</v>
      </c>
      <c r="K583" s="58" t="s">
        <v>66</v>
      </c>
      <c r="L583" s="59"/>
      <c r="M583" s="26"/>
      <c r="N583" s="26"/>
    </row>
    <row r="584" spans="1:14" ht="35.4" customHeight="1" x14ac:dyDescent="0.35">
      <c r="A584" s="60" t="s">
        <v>92</v>
      </c>
      <c r="B584" s="62"/>
      <c r="C584" s="34"/>
      <c r="D584" s="34"/>
      <c r="E584" s="34"/>
      <c r="F584" s="34"/>
      <c r="G584" s="34"/>
      <c r="H584" s="34"/>
      <c r="I584" s="34"/>
      <c r="J584" s="34"/>
      <c r="K584" s="34"/>
      <c r="L584" s="59"/>
      <c r="M584" s="26"/>
      <c r="N584" s="26"/>
    </row>
    <row r="585" spans="1:14" ht="35.4" customHeight="1" x14ac:dyDescent="0.35">
      <c r="A585" s="61" t="s">
        <v>94</v>
      </c>
      <c r="B585" s="62">
        <v>0</v>
      </c>
      <c r="C585" s="63">
        <v>0</v>
      </c>
      <c r="D585" s="63">
        <v>0</v>
      </c>
      <c r="E585" s="63">
        <v>0</v>
      </c>
      <c r="F585" s="63">
        <v>0</v>
      </c>
      <c r="G585" s="63">
        <v>0</v>
      </c>
      <c r="H585" s="63">
        <v>0</v>
      </c>
      <c r="I585" s="63">
        <v>0</v>
      </c>
      <c r="J585" s="63">
        <v>0</v>
      </c>
      <c r="K585" s="63">
        <v>0</v>
      </c>
      <c r="L585" s="59"/>
      <c r="M585" s="26"/>
      <c r="N585" s="26"/>
    </row>
    <row r="586" spans="1:14" ht="35.4" customHeight="1" x14ac:dyDescent="0.35">
      <c r="A586" s="64" t="s">
        <v>97</v>
      </c>
      <c r="B586" s="62">
        <v>5.0935329999999999</v>
      </c>
      <c r="C586" s="65">
        <v>8430.690955</v>
      </c>
      <c r="D586" s="65">
        <v>41832.216468999999</v>
      </c>
      <c r="E586" s="65">
        <v>50262.907421999997</v>
      </c>
      <c r="F586" s="65">
        <v>8430.2291280000009</v>
      </c>
      <c r="G586" s="65">
        <v>40735.213551000001</v>
      </c>
      <c r="H586" s="65">
        <v>49165.442676999999</v>
      </c>
      <c r="I586" s="65">
        <v>102630.21433800001</v>
      </c>
      <c r="J586" s="65">
        <v>101178.426978</v>
      </c>
      <c r="K586" s="65">
        <v>0</v>
      </c>
      <c r="L586" s="59"/>
      <c r="M586" s="26"/>
      <c r="N586" s="26"/>
    </row>
    <row r="587" spans="1:14" ht="35.4" customHeight="1" x14ac:dyDescent="0.35">
      <c r="A587" s="61" t="s">
        <v>98</v>
      </c>
      <c r="B587" s="62">
        <v>9.1911999999999994E-2</v>
      </c>
      <c r="C587" s="67"/>
      <c r="D587" s="67"/>
      <c r="E587" s="67"/>
      <c r="F587" s="67"/>
      <c r="G587" s="67"/>
      <c r="H587" s="67"/>
      <c r="I587" s="67"/>
      <c r="J587" s="67"/>
      <c r="K587" s="67"/>
      <c r="L587" s="59"/>
      <c r="M587" s="26"/>
      <c r="N587" s="26"/>
    </row>
    <row r="588" spans="1:14" ht="35.4" customHeight="1" x14ac:dyDescent="0.35">
      <c r="A588" s="60" t="s">
        <v>99</v>
      </c>
      <c r="B588" s="58">
        <v>5.1854449999999996</v>
      </c>
      <c r="C588" s="58">
        <v>8430.6910000000007</v>
      </c>
      <c r="D588" s="58">
        <v>41832.216</v>
      </c>
      <c r="E588" s="58">
        <v>50262.906999999999</v>
      </c>
      <c r="F588" s="58">
        <v>8430.2289999999994</v>
      </c>
      <c r="G588" s="58">
        <v>40735.214</v>
      </c>
      <c r="H588" s="58">
        <v>49165.442999999999</v>
      </c>
      <c r="I588" s="58">
        <v>102630.21400000001</v>
      </c>
      <c r="J588" s="58">
        <v>101178.427</v>
      </c>
      <c r="K588" s="58" t="s">
        <v>66</v>
      </c>
      <c r="L588" s="59"/>
      <c r="M588" s="26"/>
      <c r="N588" s="26"/>
    </row>
    <row r="589" spans="1:14" ht="35.4" customHeight="1" x14ac:dyDescent="0.35">
      <c r="A589" s="34"/>
      <c r="B589" s="62"/>
      <c r="C589" s="34"/>
      <c r="D589" s="34"/>
      <c r="E589" s="34"/>
      <c r="F589" s="34"/>
      <c r="G589" s="34"/>
      <c r="H589" s="34"/>
      <c r="I589" s="34"/>
      <c r="J589" s="34"/>
      <c r="K589" s="34"/>
      <c r="L589" s="59"/>
      <c r="M589" s="26"/>
      <c r="N589" s="26"/>
    </row>
    <row r="590" spans="1:14" ht="35.4" customHeight="1" x14ac:dyDescent="0.35">
      <c r="A590" s="61" t="s">
        <v>100</v>
      </c>
      <c r="B590" s="62">
        <v>1.3333330000000001</v>
      </c>
      <c r="C590" s="63">
        <v>2167.7827670000001</v>
      </c>
      <c r="D590" s="63">
        <v>10756.313815</v>
      </c>
      <c r="E590" s="63">
        <v>12924.096579999999</v>
      </c>
      <c r="F590" s="63">
        <v>2167.6640170000001</v>
      </c>
      <c r="G590" s="63">
        <v>10755.826712</v>
      </c>
      <c r="H590" s="63">
        <v>12923.490728000001</v>
      </c>
      <c r="I590" s="63">
        <v>26389.297196</v>
      </c>
      <c r="J590" s="63">
        <v>26388.272593999998</v>
      </c>
      <c r="K590" s="63">
        <v>0</v>
      </c>
      <c r="L590" s="59"/>
      <c r="M590" s="26"/>
      <c r="N590" s="26"/>
    </row>
    <row r="591" spans="1:14" ht="35.4" customHeight="1" x14ac:dyDescent="0.35">
      <c r="A591" s="61" t="s">
        <v>101</v>
      </c>
      <c r="B591" s="62"/>
      <c r="C591" s="63"/>
      <c r="D591" s="63"/>
      <c r="E591" s="63"/>
      <c r="F591" s="63">
        <v>0</v>
      </c>
      <c r="G591" s="63">
        <v>-9088.1</v>
      </c>
      <c r="H591" s="63">
        <f>F591+G591</f>
        <v>-9088.1</v>
      </c>
      <c r="I591" s="63"/>
      <c r="J591" s="63">
        <v>-9297.6324999999997</v>
      </c>
      <c r="K591" s="63"/>
      <c r="L591" s="59"/>
      <c r="M591" s="26"/>
      <c r="N591" s="26"/>
    </row>
    <row r="592" spans="1:14" ht="35.4" customHeight="1" x14ac:dyDescent="0.35">
      <c r="A592" s="61" t="s">
        <v>102</v>
      </c>
      <c r="B592" s="62"/>
      <c r="C592" s="63"/>
      <c r="D592" s="63"/>
      <c r="E592" s="63"/>
      <c r="F592" s="63">
        <v>93.44</v>
      </c>
      <c r="G592" s="63">
        <v>8174.0424999999996</v>
      </c>
      <c r="H592" s="63">
        <f t="shared" ref="H592:H594" si="46">F592+G592</f>
        <v>8267.4825000000001</v>
      </c>
      <c r="I592" s="63"/>
      <c r="J592" s="63">
        <v>45442.824999999997</v>
      </c>
      <c r="K592" s="63"/>
      <c r="L592" s="59"/>
      <c r="M592" s="26"/>
      <c r="N592" s="26"/>
    </row>
    <row r="593" spans="1:14" ht="35.4" customHeight="1" x14ac:dyDescent="0.35">
      <c r="A593" s="61" t="s">
        <v>103</v>
      </c>
      <c r="B593" s="62"/>
      <c r="C593" s="63"/>
      <c r="D593" s="63"/>
      <c r="E593" s="63"/>
      <c r="F593" s="63">
        <v>-116.9325</v>
      </c>
      <c r="G593" s="63">
        <f>-55572.7125-15427.2175</f>
        <v>-70999.930000000008</v>
      </c>
      <c r="H593" s="63">
        <f t="shared" si="46"/>
        <v>-71116.862500000003</v>
      </c>
      <c r="I593" s="63"/>
      <c r="J593" s="63">
        <v>-87374.157500000001</v>
      </c>
      <c r="K593" s="63"/>
      <c r="L593" s="59"/>
      <c r="M593" s="26"/>
      <c r="N593" s="26"/>
    </row>
    <row r="594" spans="1:14" ht="35.4" customHeight="1" x14ac:dyDescent="0.35">
      <c r="A594" s="61" t="s">
        <v>104</v>
      </c>
      <c r="B594" s="62"/>
      <c r="C594" s="63"/>
      <c r="D594" s="63"/>
      <c r="E594" s="63"/>
      <c r="F594" s="63">
        <v>0</v>
      </c>
      <c r="G594" s="63">
        <v>70.504999999999995</v>
      </c>
      <c r="H594" s="63">
        <f t="shared" si="46"/>
        <v>70.504999999999995</v>
      </c>
      <c r="I594" s="63"/>
      <c r="J594" s="63">
        <v>80.982500000000002</v>
      </c>
      <c r="K594" s="63"/>
      <c r="L594" s="59"/>
      <c r="M594" s="26"/>
      <c r="N594" s="26"/>
    </row>
    <row r="595" spans="1:14" ht="35.4" customHeight="1" x14ac:dyDescent="0.35">
      <c r="A595" s="60" t="s">
        <v>105</v>
      </c>
      <c r="B595" s="58">
        <v>100</v>
      </c>
      <c r="C595" s="58">
        <v>162194.375</v>
      </c>
      <c r="D595" s="58">
        <v>803878.32499999995</v>
      </c>
      <c r="E595" s="58">
        <v>966072.7</v>
      </c>
      <c r="F595" s="58">
        <f t="shared" ref="F595:G595" si="47">F562+F565+F572+F583+F588+F590+F591+F592+F593+F594</f>
        <v>161727.18951699999</v>
      </c>
      <c r="G595" s="58">
        <f t="shared" si="47"/>
        <v>705483.37021199986</v>
      </c>
      <c r="H595" s="58">
        <f>H562+H565+H572+H583+H588+H590+H591+H592+H593+H594</f>
        <v>867210.55872799992</v>
      </c>
      <c r="I595" s="58">
        <f>I562+I565+I572+I583+I588+I590</f>
        <v>1975109.2865220001</v>
      </c>
      <c r="J595" s="58">
        <f>J562+J565+J572+J583+J588+J590+J591+J592+J593+J594</f>
        <v>1847170.1542809997</v>
      </c>
      <c r="K595" s="58" t="s">
        <v>66</v>
      </c>
      <c r="L595" s="68"/>
      <c r="M595" s="26"/>
      <c r="N595" s="26"/>
    </row>
    <row r="596" spans="1:14" ht="35.4" customHeight="1" thickBot="1" x14ac:dyDescent="0.4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</row>
    <row r="597" spans="1:14" ht="18" x14ac:dyDescent="0.35">
      <c r="A597" s="25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</row>
    <row r="598" spans="1:14" ht="15.6" customHeight="1" x14ac:dyDescent="0.35">
      <c r="A598" s="38" t="s">
        <v>3</v>
      </c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40"/>
      <c r="M598" s="26"/>
      <c r="N598" s="26"/>
    </row>
    <row r="599" spans="1:14" ht="18" x14ac:dyDescent="0.35">
      <c r="A599" s="41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3"/>
      <c r="M599" s="26"/>
      <c r="N599" s="26"/>
    </row>
    <row r="600" spans="1:14" ht="18" x14ac:dyDescent="0.35">
      <c r="A600" s="44" t="s">
        <v>41</v>
      </c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45"/>
      <c r="M600" s="26"/>
      <c r="N600" s="26"/>
    </row>
    <row r="601" spans="1:14" ht="18" x14ac:dyDescent="0.35">
      <c r="A601" s="46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8"/>
      <c r="M601" s="26"/>
      <c r="N601" s="26"/>
    </row>
    <row r="602" spans="1:14" ht="14.4" customHeight="1" x14ac:dyDescent="0.35">
      <c r="A602" s="49" t="s">
        <v>133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1"/>
      <c r="M602" s="26"/>
      <c r="N602" s="26"/>
    </row>
    <row r="603" spans="1:14" ht="14.4" customHeight="1" x14ac:dyDescent="0.35">
      <c r="A603" s="52" t="s">
        <v>43</v>
      </c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4"/>
      <c r="M603" s="26"/>
      <c r="N603" s="26"/>
    </row>
    <row r="604" spans="1:14" ht="22.2" customHeight="1" x14ac:dyDescent="0.35">
      <c r="A604" s="55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7"/>
      <c r="M604" s="26"/>
      <c r="N604" s="26"/>
    </row>
    <row r="605" spans="1:14" ht="105" customHeight="1" x14ac:dyDescent="0.35">
      <c r="A605" s="58" t="s">
        <v>44</v>
      </c>
      <c r="B605" s="58" t="s">
        <v>45</v>
      </c>
      <c r="C605" s="58" t="s">
        <v>46</v>
      </c>
      <c r="D605" s="58" t="s">
        <v>47</v>
      </c>
      <c r="E605" s="58" t="s">
        <v>48</v>
      </c>
      <c r="F605" s="58" t="s">
        <v>49</v>
      </c>
      <c r="G605" s="58" t="s">
        <v>50</v>
      </c>
      <c r="H605" s="58" t="s">
        <v>51</v>
      </c>
      <c r="I605" s="58" t="s">
        <v>52</v>
      </c>
      <c r="J605" s="58" t="s">
        <v>53</v>
      </c>
      <c r="K605" s="58" t="s">
        <v>54</v>
      </c>
      <c r="L605" s="59"/>
      <c r="M605" s="26"/>
      <c r="N605" s="26"/>
    </row>
    <row r="606" spans="1:14" ht="25.2" customHeight="1" x14ac:dyDescent="0.35">
      <c r="A606" s="58"/>
      <c r="B606" s="58" t="s">
        <v>55</v>
      </c>
      <c r="C606" s="58" t="s">
        <v>56</v>
      </c>
      <c r="D606" s="58" t="s">
        <v>56</v>
      </c>
      <c r="E606" s="58" t="s">
        <v>56</v>
      </c>
      <c r="F606" s="58" t="s">
        <v>56</v>
      </c>
      <c r="G606" s="58" t="s">
        <v>56</v>
      </c>
      <c r="H606" s="58" t="s">
        <v>56</v>
      </c>
      <c r="I606" s="58" t="s">
        <v>56</v>
      </c>
      <c r="J606" s="58" t="s">
        <v>56</v>
      </c>
      <c r="K606" s="58" t="s">
        <v>56</v>
      </c>
      <c r="L606" s="59"/>
      <c r="M606" s="26"/>
      <c r="N606" s="26"/>
    </row>
    <row r="607" spans="1:14" ht="25.2" customHeight="1" x14ac:dyDescent="0.35">
      <c r="A607" s="60" t="s">
        <v>57</v>
      </c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59"/>
      <c r="M607" s="26"/>
      <c r="N607" s="26"/>
    </row>
    <row r="608" spans="1:14" ht="25.2" customHeight="1" x14ac:dyDescent="0.35">
      <c r="A608" s="61" t="s">
        <v>58</v>
      </c>
      <c r="B608" s="62">
        <v>94.247472000000002</v>
      </c>
      <c r="C608" s="63">
        <v>139541.026503</v>
      </c>
      <c r="D608" s="63">
        <v>679009.965555</v>
      </c>
      <c r="E608" s="63">
        <v>818550.99205899995</v>
      </c>
      <c r="F608" s="63">
        <v>136576.12415799999</v>
      </c>
      <c r="G608" s="63">
        <v>560458.03682699997</v>
      </c>
      <c r="H608" s="63">
        <v>697034.16098299995</v>
      </c>
      <c r="I608" s="63">
        <v>1482320.9784510001</v>
      </c>
      <c r="J608" s="63">
        <v>1170662.3191499999</v>
      </c>
      <c r="K608" s="63">
        <f>IF((0.85*I608-J608)&gt;0,(0.85*I608-J608),0)</f>
        <v>89310.512533350149</v>
      </c>
      <c r="L608" s="59"/>
      <c r="M608" s="26"/>
      <c r="N608" s="26"/>
    </row>
    <row r="609" spans="1:14" ht="25.2" customHeight="1" x14ac:dyDescent="0.35">
      <c r="A609" s="61" t="s">
        <v>60</v>
      </c>
      <c r="B609" s="62">
        <v>1.482291</v>
      </c>
      <c r="C609" s="63">
        <v>2207.1638079999998</v>
      </c>
      <c r="D609" s="63">
        <v>10847.632197999999</v>
      </c>
      <c r="E609" s="63">
        <v>13054.796006</v>
      </c>
      <c r="F609" s="63">
        <v>2207.1076579999999</v>
      </c>
      <c r="G609" s="63">
        <v>9573.2366500000007</v>
      </c>
      <c r="H609" s="63">
        <v>11780.344304</v>
      </c>
      <c r="I609" s="63">
        <v>25237.402300000002</v>
      </c>
      <c r="J609" s="63">
        <v>21758.328398999998</v>
      </c>
      <c r="K609" s="63">
        <f t="shared" ref="K609:K613" si="48">IF((0.85*I609-J609)&gt;0,(0.85*I609-J609),0)</f>
        <v>0</v>
      </c>
      <c r="L609" s="59"/>
      <c r="M609" s="26"/>
      <c r="N609" s="26"/>
    </row>
    <row r="610" spans="1:14" ht="25.2" customHeight="1" x14ac:dyDescent="0.35">
      <c r="A610" s="61" t="s">
        <v>61</v>
      </c>
      <c r="B610" s="62">
        <v>2.2968139999999999</v>
      </c>
      <c r="C610" s="63">
        <v>3454.1549759999998</v>
      </c>
      <c r="D610" s="63">
        <v>17159.819306000001</v>
      </c>
      <c r="E610" s="63">
        <v>20613.974280999999</v>
      </c>
      <c r="F610" s="63">
        <v>3444.5887400000001</v>
      </c>
      <c r="G610" s="63">
        <v>14264.561662</v>
      </c>
      <c r="H610" s="63">
        <v>17709.150404</v>
      </c>
      <c r="I610" s="63">
        <v>34254.219169999997</v>
      </c>
      <c r="J610" s="63">
        <v>28877.273598</v>
      </c>
      <c r="K610" s="63">
        <f t="shared" si="48"/>
        <v>238.8126964999974</v>
      </c>
      <c r="L610" s="59"/>
      <c r="M610" s="26"/>
      <c r="N610" s="26"/>
    </row>
    <row r="611" spans="1:14" ht="25.2" customHeight="1" x14ac:dyDescent="0.35">
      <c r="A611" s="61" t="s">
        <v>134</v>
      </c>
      <c r="B611" s="62">
        <v>0.113636</v>
      </c>
      <c r="C611" s="63">
        <v>70.978584999999995</v>
      </c>
      <c r="D611" s="63">
        <v>614.07805199999996</v>
      </c>
      <c r="E611" s="63">
        <v>685.05663600000003</v>
      </c>
      <c r="F611" s="63">
        <v>60.265751000000002</v>
      </c>
      <c r="G611" s="63">
        <v>320.25607600000001</v>
      </c>
      <c r="H611" s="63">
        <v>380.52182699999997</v>
      </c>
      <c r="I611" s="63">
        <v>1333.4122889999999</v>
      </c>
      <c r="J611" s="63">
        <v>731.12661800000001</v>
      </c>
      <c r="K611" s="63">
        <f t="shared" si="48"/>
        <v>402.27382764999993</v>
      </c>
      <c r="L611" s="59"/>
      <c r="M611" s="26"/>
      <c r="N611" s="26"/>
    </row>
    <row r="612" spans="1:14" ht="25.2" customHeight="1" x14ac:dyDescent="0.35">
      <c r="A612" s="61" t="s">
        <v>63</v>
      </c>
      <c r="B612" s="62">
        <v>3.3848999999999997E-2</v>
      </c>
      <c r="C612" s="63">
        <v>50.401589999999999</v>
      </c>
      <c r="D612" s="63">
        <v>250.524303</v>
      </c>
      <c r="E612" s="63">
        <v>300.92589199999998</v>
      </c>
      <c r="F612" s="63">
        <v>50.399051999999998</v>
      </c>
      <c r="G612" s="63">
        <v>254.01092499999999</v>
      </c>
      <c r="H612" s="63">
        <v>304.40997499999997</v>
      </c>
      <c r="I612" s="63">
        <v>579.28883900000005</v>
      </c>
      <c r="J612" s="63">
        <v>582.72837699999991</v>
      </c>
      <c r="K612" s="63">
        <f t="shared" si="48"/>
        <v>0</v>
      </c>
      <c r="L612" s="59"/>
      <c r="M612" s="26"/>
      <c r="N612" s="26"/>
    </row>
    <row r="613" spans="1:14" ht="25.2" customHeight="1" x14ac:dyDescent="0.35">
      <c r="A613" s="61" t="s">
        <v>64</v>
      </c>
      <c r="B613" s="62">
        <v>1.1474850000000001</v>
      </c>
      <c r="C613" s="63">
        <v>1708.6298690000001</v>
      </c>
      <c r="D613" s="63">
        <v>8492.8533329999991</v>
      </c>
      <c r="E613" s="63">
        <v>10201.483200000001</v>
      </c>
      <c r="F613" s="63">
        <v>1580.7296429999999</v>
      </c>
      <c r="G613" s="63">
        <v>6374.4577300000001</v>
      </c>
      <c r="H613" s="63">
        <v>7955.1873720000003</v>
      </c>
      <c r="I613" s="63">
        <v>19637.693638000001</v>
      </c>
      <c r="J613" s="63">
        <v>16455.427092999998</v>
      </c>
      <c r="K613" s="63">
        <f t="shared" si="48"/>
        <v>236.61249930000122</v>
      </c>
      <c r="L613" s="59"/>
      <c r="M613" s="26"/>
      <c r="N613" s="26"/>
    </row>
    <row r="614" spans="1:14" ht="25.2" customHeight="1" x14ac:dyDescent="0.35">
      <c r="A614" s="60" t="s">
        <v>75</v>
      </c>
      <c r="B614" s="58">
        <v>99.321546999999995</v>
      </c>
      <c r="C614" s="58">
        <v>147032.35500000001</v>
      </c>
      <c r="D614" s="58">
        <v>716374.87300000002</v>
      </c>
      <c r="E614" s="58">
        <v>863407.228</v>
      </c>
      <c r="F614" s="58">
        <v>143919.215</v>
      </c>
      <c r="G614" s="58">
        <v>591244.56000000006</v>
      </c>
      <c r="H614" s="58">
        <v>735163.77500000002</v>
      </c>
      <c r="I614" s="58">
        <f>SUM(I608:I613)</f>
        <v>1563362.9946869998</v>
      </c>
      <c r="J614" s="58">
        <f>SUM(J608:J613)</f>
        <v>1239067.2032349997</v>
      </c>
      <c r="K614" s="58" t="s">
        <v>66</v>
      </c>
      <c r="L614" s="59"/>
      <c r="M614" s="26"/>
      <c r="N614" s="26"/>
    </row>
    <row r="615" spans="1:14" ht="25.2" customHeight="1" x14ac:dyDescent="0.35">
      <c r="A615" s="60" t="s">
        <v>76</v>
      </c>
      <c r="B615" s="62"/>
      <c r="C615" s="34"/>
      <c r="D615" s="34"/>
      <c r="E615" s="34"/>
      <c r="F615" s="34"/>
      <c r="G615" s="34"/>
      <c r="H615" s="34"/>
      <c r="I615" s="34"/>
      <c r="J615" s="34"/>
      <c r="K615" s="34"/>
      <c r="L615" s="59"/>
      <c r="M615" s="26"/>
      <c r="N615" s="26"/>
    </row>
    <row r="616" spans="1:14" ht="25.2" customHeight="1" x14ac:dyDescent="0.35">
      <c r="A616" s="61" t="s">
        <v>77</v>
      </c>
      <c r="B616" s="62">
        <v>0</v>
      </c>
      <c r="C616" s="63">
        <v>0</v>
      </c>
      <c r="D616" s="63">
        <v>0</v>
      </c>
      <c r="E616" s="63">
        <v>0</v>
      </c>
      <c r="F616" s="63">
        <v>0</v>
      </c>
      <c r="G616" s="63">
        <v>0</v>
      </c>
      <c r="H616" s="63">
        <v>0</v>
      </c>
      <c r="I616" s="63">
        <v>0</v>
      </c>
      <c r="J616" s="63">
        <v>0</v>
      </c>
      <c r="K616" s="63">
        <v>0</v>
      </c>
      <c r="L616" s="59"/>
      <c r="M616" s="26"/>
      <c r="N616" s="26"/>
    </row>
    <row r="617" spans="1:14" ht="25.2" customHeight="1" x14ac:dyDescent="0.35">
      <c r="A617" s="61" t="s">
        <v>78</v>
      </c>
      <c r="B617" s="62">
        <v>0.67845299999999997</v>
      </c>
      <c r="C617" s="63">
        <v>1011.8619619999999</v>
      </c>
      <c r="D617" s="63">
        <v>5017.7914199999996</v>
      </c>
      <c r="E617" s="63">
        <v>6029.6533820000004</v>
      </c>
      <c r="F617" s="63">
        <v>1618.738996</v>
      </c>
      <c r="G617" s="63">
        <v>6214.1079639999998</v>
      </c>
      <c r="H617" s="63">
        <v>7832.8469590000004</v>
      </c>
      <c r="I617" s="63">
        <v>11358.399281</v>
      </c>
      <c r="J617" s="63">
        <v>15674.306441000001</v>
      </c>
      <c r="K617" s="63">
        <v>0</v>
      </c>
      <c r="L617" s="59"/>
      <c r="M617" s="26"/>
      <c r="N617" s="26"/>
    </row>
    <row r="618" spans="1:14" ht="25.2" customHeight="1" x14ac:dyDescent="0.35">
      <c r="A618" s="60" t="s">
        <v>79</v>
      </c>
      <c r="B618" s="58">
        <v>0.67845299999999997</v>
      </c>
      <c r="C618" s="58">
        <v>1011.862</v>
      </c>
      <c r="D618" s="58">
        <v>5017.7910000000002</v>
      </c>
      <c r="E618" s="58">
        <v>6029.6530000000002</v>
      </c>
      <c r="F618" s="58">
        <v>1618.739</v>
      </c>
      <c r="G618" s="58">
        <v>6214.1080000000002</v>
      </c>
      <c r="H618" s="58">
        <v>7832.8469999999998</v>
      </c>
      <c r="I618" s="58">
        <v>11358.398999999999</v>
      </c>
      <c r="J618" s="58">
        <v>15674.306</v>
      </c>
      <c r="K618" s="58" t="s">
        <v>66</v>
      </c>
      <c r="L618" s="59"/>
      <c r="M618" s="26"/>
      <c r="N618" s="26"/>
    </row>
    <row r="619" spans="1:14" ht="25.2" customHeight="1" x14ac:dyDescent="0.35">
      <c r="A619" s="60" t="s">
        <v>82</v>
      </c>
      <c r="B619" s="58"/>
      <c r="C619" s="58"/>
      <c r="D619" s="58"/>
      <c r="E619" s="58"/>
      <c r="F619" s="58"/>
      <c r="G619" s="58"/>
      <c r="H619" s="58">
        <v>0</v>
      </c>
      <c r="I619" s="58"/>
      <c r="J619" s="58">
        <v>0</v>
      </c>
      <c r="K619" s="58" t="s">
        <v>66</v>
      </c>
      <c r="L619" s="59"/>
      <c r="M619" s="26"/>
      <c r="N619" s="26"/>
    </row>
    <row r="620" spans="1:14" ht="25.2" customHeight="1" x14ac:dyDescent="0.35">
      <c r="A620" s="60" t="s">
        <v>83</v>
      </c>
      <c r="B620" s="62"/>
      <c r="C620" s="34"/>
      <c r="D620" s="34"/>
      <c r="E620" s="34"/>
      <c r="F620" s="34"/>
      <c r="G620" s="34"/>
      <c r="H620" s="34"/>
      <c r="I620" s="34"/>
      <c r="J620" s="34"/>
      <c r="K620" s="34"/>
      <c r="L620" s="59"/>
      <c r="M620" s="26"/>
      <c r="N620" s="26"/>
    </row>
    <row r="621" spans="1:14" ht="25.2" customHeight="1" x14ac:dyDescent="0.35">
      <c r="A621" s="61" t="s">
        <v>87</v>
      </c>
      <c r="B621" s="62">
        <v>0</v>
      </c>
      <c r="C621" s="63">
        <v>0</v>
      </c>
      <c r="D621" s="63">
        <v>0</v>
      </c>
      <c r="E621" s="63">
        <v>0</v>
      </c>
      <c r="F621" s="63">
        <v>0</v>
      </c>
      <c r="G621" s="63">
        <v>0</v>
      </c>
      <c r="H621" s="63">
        <v>0</v>
      </c>
      <c r="I621" s="63">
        <v>0</v>
      </c>
      <c r="J621" s="63">
        <v>0</v>
      </c>
      <c r="K621" s="63">
        <v>0</v>
      </c>
      <c r="L621" s="59"/>
      <c r="M621" s="26"/>
      <c r="N621" s="26"/>
    </row>
    <row r="622" spans="1:14" ht="25.2" customHeight="1" x14ac:dyDescent="0.35">
      <c r="A622" s="60" t="s">
        <v>91</v>
      </c>
      <c r="B622" s="58"/>
      <c r="C622" s="58">
        <v>0</v>
      </c>
      <c r="D622" s="58">
        <v>0</v>
      </c>
      <c r="E622" s="58">
        <v>0</v>
      </c>
      <c r="F622" s="58">
        <v>0</v>
      </c>
      <c r="G622" s="58">
        <v>0</v>
      </c>
      <c r="H622" s="58">
        <v>0</v>
      </c>
      <c r="I622" s="58">
        <v>0</v>
      </c>
      <c r="J622" s="58">
        <v>0</v>
      </c>
      <c r="K622" s="58" t="s">
        <v>66</v>
      </c>
      <c r="L622" s="59"/>
      <c r="M622" s="26"/>
      <c r="N622" s="26"/>
    </row>
    <row r="623" spans="1:14" ht="25.2" customHeight="1" x14ac:dyDescent="0.35">
      <c r="A623" s="60" t="s">
        <v>99</v>
      </c>
      <c r="B623" s="58"/>
      <c r="C623" s="58"/>
      <c r="D623" s="58"/>
      <c r="E623" s="58"/>
      <c r="F623" s="58"/>
      <c r="G623" s="58"/>
      <c r="H623" s="58">
        <v>0</v>
      </c>
      <c r="I623" s="58"/>
      <c r="J623" s="58">
        <v>0</v>
      </c>
      <c r="K623" s="58" t="s">
        <v>66</v>
      </c>
      <c r="L623" s="59"/>
      <c r="M623" s="26"/>
      <c r="N623" s="26"/>
    </row>
    <row r="624" spans="1:14" ht="25.2" customHeight="1" x14ac:dyDescent="0.35">
      <c r="A624" s="34"/>
      <c r="B624" s="62"/>
      <c r="C624" s="34"/>
      <c r="D624" s="34"/>
      <c r="E624" s="34"/>
      <c r="F624" s="34"/>
      <c r="G624" s="34"/>
      <c r="H624" s="34"/>
      <c r="I624" s="34"/>
      <c r="J624" s="34"/>
      <c r="K624" s="34"/>
      <c r="L624" s="59"/>
      <c r="M624" s="26"/>
      <c r="N624" s="26"/>
    </row>
    <row r="625" spans="1:14" ht="25.2" customHeight="1" x14ac:dyDescent="0.35">
      <c r="A625" s="61" t="s">
        <v>101</v>
      </c>
      <c r="B625" s="62"/>
      <c r="C625" s="63"/>
      <c r="D625" s="63"/>
      <c r="E625" s="63"/>
      <c r="F625" s="63">
        <v>0</v>
      </c>
      <c r="G625" s="63">
        <v>-2429.3200000000002</v>
      </c>
      <c r="H625" s="63">
        <f>F625+G625</f>
        <v>-2429.3200000000002</v>
      </c>
      <c r="I625" s="63"/>
      <c r="J625" s="63">
        <v>-2948.8674999999998</v>
      </c>
      <c r="K625" s="63"/>
      <c r="L625" s="59"/>
      <c r="M625" s="26"/>
      <c r="N625" s="26"/>
    </row>
    <row r="626" spans="1:14" ht="25.2" customHeight="1" x14ac:dyDescent="0.35">
      <c r="A626" s="61" t="s">
        <v>102</v>
      </c>
      <c r="B626" s="62"/>
      <c r="C626" s="63"/>
      <c r="D626" s="63"/>
      <c r="E626" s="63"/>
      <c r="F626" s="63">
        <v>2068.3000000000002</v>
      </c>
      <c r="G626" s="63">
        <v>44819.822500000002</v>
      </c>
      <c r="H626" s="63">
        <f t="shared" ref="H626:H628" si="49">F626+G626</f>
        <v>46888.122500000005</v>
      </c>
      <c r="I626" s="63"/>
      <c r="J626" s="63">
        <v>146798.33407800001</v>
      </c>
      <c r="K626" s="63"/>
      <c r="L626" s="59"/>
      <c r="M626" s="26"/>
      <c r="N626" s="26"/>
    </row>
    <row r="627" spans="1:14" ht="25.2" customHeight="1" x14ac:dyDescent="0.35">
      <c r="A627" s="61" t="s">
        <v>103</v>
      </c>
      <c r="B627" s="62"/>
      <c r="C627" s="63"/>
      <c r="D627" s="63"/>
      <c r="E627" s="63"/>
      <c r="F627" s="63">
        <v>-1180.1475</v>
      </c>
      <c r="G627" s="63">
        <f>-41235.78-2745.17</f>
        <v>-43980.95</v>
      </c>
      <c r="H627" s="63">
        <f t="shared" si="49"/>
        <v>-45161.097499999996</v>
      </c>
      <c r="I627" s="63"/>
      <c r="J627" s="63">
        <v>-74607.677500000005</v>
      </c>
      <c r="K627" s="63"/>
      <c r="L627" s="59"/>
      <c r="M627" s="26"/>
      <c r="N627" s="26"/>
    </row>
    <row r="628" spans="1:14" ht="25.2" customHeight="1" x14ac:dyDescent="0.35">
      <c r="A628" s="61" t="s">
        <v>104</v>
      </c>
      <c r="B628" s="62"/>
      <c r="C628" s="63"/>
      <c r="D628" s="63"/>
      <c r="E628" s="63"/>
      <c r="F628" s="63">
        <v>0</v>
      </c>
      <c r="G628" s="63">
        <v>416.57499999999999</v>
      </c>
      <c r="H628" s="63">
        <f t="shared" si="49"/>
        <v>416.57499999999999</v>
      </c>
      <c r="I628" s="63"/>
      <c r="J628" s="63">
        <v>4437.97</v>
      </c>
      <c r="K628" s="63"/>
      <c r="L628" s="59"/>
      <c r="M628" s="26"/>
      <c r="N628" s="26"/>
    </row>
    <row r="629" spans="1:14" ht="25.2" customHeight="1" x14ac:dyDescent="0.35">
      <c r="A629" s="60" t="s">
        <v>105</v>
      </c>
      <c r="B629" s="58">
        <v>100</v>
      </c>
      <c r="C629" s="58">
        <v>148044.217</v>
      </c>
      <c r="D629" s="58">
        <v>721392.66399999999</v>
      </c>
      <c r="E629" s="58">
        <v>869436.88100000005</v>
      </c>
      <c r="F629" s="58">
        <f t="shared" ref="F629:G629" si="50">F614+F618+F619+F622+F623+F625+F626+F627+F628</f>
        <v>146426.10649999999</v>
      </c>
      <c r="G629" s="58">
        <f t="shared" si="50"/>
        <v>596284.79550000012</v>
      </c>
      <c r="H629" s="58">
        <f>H614+H618+H619+H622+H623+H625+H626+H627+H628</f>
        <v>742710.902</v>
      </c>
      <c r="I629" s="58">
        <f>I614+I618+I622</f>
        <v>1574721.3936869998</v>
      </c>
      <c r="J629" s="58">
        <f>J614+J618+J622+J623+J625+J626+J627+J628</f>
        <v>1328421.2683129997</v>
      </c>
      <c r="K629" s="58" t="s">
        <v>66</v>
      </c>
      <c r="L629" s="68"/>
      <c r="M629" s="26"/>
      <c r="N629" s="26"/>
    </row>
    <row r="630" spans="1:14" ht="18.600000000000001" thickBot="1" x14ac:dyDescent="0.4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</row>
    <row r="631" spans="1:14" x14ac:dyDescent="0.3">
      <c r="A631" s="3"/>
    </row>
    <row r="632" spans="1:14" ht="15.6" hidden="1" customHeight="1" x14ac:dyDescent="0.3">
      <c r="A632" s="12" t="s">
        <v>3</v>
      </c>
      <c r="B632" s="13"/>
      <c r="C632" s="13"/>
      <c r="D632" s="13"/>
      <c r="E632" s="13"/>
      <c r="F632" s="13"/>
      <c r="G632" s="14"/>
    </row>
    <row r="633" spans="1:14" hidden="1" x14ac:dyDescent="0.3">
      <c r="A633" s="15"/>
      <c r="B633" s="16"/>
      <c r="C633" s="16"/>
      <c r="D633" s="16"/>
      <c r="E633" s="16"/>
      <c r="F633" s="16"/>
      <c r="G633" s="17"/>
    </row>
    <row r="634" spans="1:14" hidden="1" x14ac:dyDescent="0.3">
      <c r="A634" s="22" t="s">
        <v>135</v>
      </c>
      <c r="B634" s="23"/>
      <c r="C634" s="23"/>
      <c r="D634" s="23"/>
      <c r="E634" s="23"/>
      <c r="F634" s="23"/>
      <c r="G634" s="24"/>
    </row>
    <row r="635" spans="1:14" hidden="1" x14ac:dyDescent="0.3">
      <c r="A635" s="15"/>
      <c r="B635" s="16"/>
      <c r="C635" s="16"/>
      <c r="D635" s="16"/>
      <c r="E635" s="16"/>
      <c r="F635" s="16"/>
      <c r="G635" s="17"/>
    </row>
    <row r="636" spans="1:14" hidden="1" x14ac:dyDescent="0.3">
      <c r="A636" s="22" t="s">
        <v>136</v>
      </c>
      <c r="B636" s="23"/>
      <c r="C636" s="23"/>
      <c r="D636" s="23"/>
      <c r="E636" s="23"/>
      <c r="F636" s="23"/>
      <c r="G636" s="24"/>
    </row>
    <row r="637" spans="1:14" hidden="1" x14ac:dyDescent="0.3">
      <c r="A637" s="18"/>
      <c r="B637" s="19"/>
      <c r="C637" s="19"/>
      <c r="D637" s="19"/>
      <c r="E637" s="19"/>
      <c r="F637" s="19"/>
      <c r="G637" s="20"/>
    </row>
    <row r="638" spans="1:14" ht="14.4" hidden="1" customHeight="1" x14ac:dyDescent="0.3">
      <c r="A638" s="8" t="s">
        <v>137</v>
      </c>
      <c r="B638" s="10" t="s">
        <v>45</v>
      </c>
      <c r="C638" s="21"/>
      <c r="D638" s="11"/>
      <c r="E638" s="10" t="s">
        <v>138</v>
      </c>
      <c r="F638" s="21"/>
      <c r="G638" s="11"/>
    </row>
    <row r="639" spans="1:14" hidden="1" x14ac:dyDescent="0.3">
      <c r="A639" s="9"/>
      <c r="B639" s="4" t="s">
        <v>139</v>
      </c>
      <c r="C639" s="4" t="s">
        <v>140</v>
      </c>
      <c r="D639" s="4" t="s">
        <v>141</v>
      </c>
      <c r="E639" s="4" t="s">
        <v>142</v>
      </c>
      <c r="F639" s="4" t="s">
        <v>143</v>
      </c>
      <c r="G639" s="4" t="s">
        <v>144</v>
      </c>
    </row>
    <row r="640" spans="1:14" hidden="1" x14ac:dyDescent="0.3">
      <c r="A640" s="5" t="s">
        <v>40</v>
      </c>
      <c r="B640" s="6">
        <v>66.380775999999997</v>
      </c>
      <c r="C640" s="6">
        <v>30.535</v>
      </c>
      <c r="D640" s="6">
        <v>35.845999999999997</v>
      </c>
      <c r="E640" s="6">
        <v>431140.00182399998</v>
      </c>
      <c r="F640" s="7">
        <v>198324.40100000001</v>
      </c>
      <c r="G640" s="7">
        <v>232815.601</v>
      </c>
    </row>
    <row r="641" spans="1:7" hidden="1" x14ac:dyDescent="0.3">
      <c r="A641" s="5" t="s">
        <v>38</v>
      </c>
      <c r="B641" s="6">
        <v>19.758403999999999</v>
      </c>
      <c r="C641" s="6">
        <v>9.0890000000000004</v>
      </c>
      <c r="D641" s="6">
        <v>10.67</v>
      </c>
      <c r="E641" s="6">
        <v>103562.425527</v>
      </c>
      <c r="F641" s="7">
        <v>47638.716</v>
      </c>
      <c r="G641" s="7">
        <v>55923.71</v>
      </c>
    </row>
    <row r="642" spans="1:7" hidden="1" x14ac:dyDescent="0.3">
      <c r="A642" s="5" t="s">
        <v>7</v>
      </c>
      <c r="B642" s="6">
        <v>44.513018000000002</v>
      </c>
      <c r="C642" s="6">
        <v>20.475999999999999</v>
      </c>
      <c r="D642" s="6">
        <v>24.036999999999999</v>
      </c>
      <c r="E642" s="6">
        <v>301555.57105000003</v>
      </c>
      <c r="F642" s="7">
        <v>138715.56299999999</v>
      </c>
      <c r="G642" s="7">
        <v>162840.008</v>
      </c>
    </row>
    <row r="643" spans="1:7" hidden="1" x14ac:dyDescent="0.3">
      <c r="A643" s="5" t="s">
        <v>39</v>
      </c>
      <c r="B643" s="6">
        <v>82.609066999999996</v>
      </c>
      <c r="C643" s="6">
        <v>38</v>
      </c>
      <c r="D643" s="6">
        <v>44.609000000000002</v>
      </c>
      <c r="E643" s="6">
        <v>866056.07065899996</v>
      </c>
      <c r="F643" s="7">
        <v>398385.79300000001</v>
      </c>
      <c r="G643" s="7">
        <v>467670.27799999999</v>
      </c>
    </row>
    <row r="644" spans="1:7" hidden="1" x14ac:dyDescent="0.3">
      <c r="A644" s="5" t="s">
        <v>8</v>
      </c>
      <c r="B644" s="6">
        <v>6.4319790000000001</v>
      </c>
      <c r="C644" s="6">
        <v>2.9590000000000001</v>
      </c>
      <c r="D644" s="6">
        <v>3.4729999999999999</v>
      </c>
      <c r="E644" s="6">
        <v>40864.827547000001</v>
      </c>
      <c r="F644" s="7">
        <v>18797.821</v>
      </c>
      <c r="G644" s="7">
        <v>22067.007000000001</v>
      </c>
    </row>
    <row r="645" spans="1:7" hidden="1" x14ac:dyDescent="0.3">
      <c r="A645" s="5" t="s">
        <v>9</v>
      </c>
      <c r="B645" s="6">
        <v>19.070582999999999</v>
      </c>
      <c r="C645" s="6">
        <v>8.7720000000000002</v>
      </c>
      <c r="D645" s="6">
        <v>10.298</v>
      </c>
      <c r="E645" s="6">
        <v>51168.684875999999</v>
      </c>
      <c r="F645" s="7">
        <v>23537.595000000001</v>
      </c>
      <c r="G645" s="7">
        <v>27631.09</v>
      </c>
    </row>
    <row r="646" spans="1:7" hidden="1" x14ac:dyDescent="0.3">
      <c r="A646" s="5" t="s">
        <v>10</v>
      </c>
      <c r="B646" s="6">
        <v>5.8578299999999999</v>
      </c>
      <c r="C646" s="6">
        <v>2.6949999999999998</v>
      </c>
      <c r="D646" s="6">
        <v>3.1629999999999998</v>
      </c>
      <c r="E646" s="6">
        <v>26685.589533999999</v>
      </c>
      <c r="F646" s="7">
        <v>12275.370999999999</v>
      </c>
      <c r="G646" s="7">
        <v>14410.218000000001</v>
      </c>
    </row>
    <row r="647" spans="1:7" hidden="1" x14ac:dyDescent="0.3">
      <c r="A647" s="5" t="s">
        <v>11</v>
      </c>
      <c r="B647" s="6">
        <v>4.0538499999999997</v>
      </c>
      <c r="C647" s="6">
        <v>1.865</v>
      </c>
      <c r="D647" s="6">
        <v>2.1890000000000001</v>
      </c>
      <c r="E647" s="6">
        <v>34750.431441000001</v>
      </c>
      <c r="F647" s="7">
        <v>15985.198</v>
      </c>
      <c r="G647" s="7">
        <v>18765.233</v>
      </c>
    </row>
    <row r="648" spans="1:7" hidden="1" x14ac:dyDescent="0.3">
      <c r="A648" s="5" t="s">
        <v>12</v>
      </c>
      <c r="B648" s="6">
        <v>40.118668999999997</v>
      </c>
      <c r="C648" s="6">
        <v>18.454999999999998</v>
      </c>
      <c r="D648" s="6">
        <v>21.664000000000001</v>
      </c>
      <c r="E648" s="6">
        <v>185885.413546</v>
      </c>
      <c r="F648" s="7">
        <v>85507.29</v>
      </c>
      <c r="G648" s="7">
        <v>100378.12300000001</v>
      </c>
    </row>
    <row r="649" spans="1:7" hidden="1" x14ac:dyDescent="0.3">
      <c r="A649" s="5" t="s">
        <v>35</v>
      </c>
      <c r="B649" s="6">
        <v>94.247472000000002</v>
      </c>
      <c r="C649" s="6">
        <v>43.353999999999999</v>
      </c>
      <c r="D649" s="6">
        <v>50.893999999999998</v>
      </c>
      <c r="E649" s="6">
        <v>697034.16098299995</v>
      </c>
      <c r="F649" s="7">
        <v>320635.71399999998</v>
      </c>
      <c r="G649" s="7">
        <v>376398.44699999999</v>
      </c>
    </row>
    <row r="650" spans="1:7" hidden="1" x14ac:dyDescent="0.3">
      <c r="A650" s="5" t="s">
        <v>36</v>
      </c>
      <c r="B650" s="6">
        <v>10</v>
      </c>
      <c r="C650" s="6">
        <v>4.5999999999999996</v>
      </c>
      <c r="D650" s="6">
        <v>5.4</v>
      </c>
      <c r="E650" s="6">
        <v>57646.266911999999</v>
      </c>
      <c r="F650" s="7">
        <v>26517.282999999999</v>
      </c>
      <c r="G650" s="7">
        <v>31128.984</v>
      </c>
    </row>
    <row r="651" spans="1:7" hidden="1" x14ac:dyDescent="0.3">
      <c r="A651" s="5" t="s">
        <v>37</v>
      </c>
      <c r="B651" s="6">
        <v>73.831636000000003</v>
      </c>
      <c r="C651" s="6">
        <v>33.963000000000001</v>
      </c>
      <c r="D651" s="6">
        <v>39.869</v>
      </c>
      <c r="E651" s="6">
        <v>111846.267899</v>
      </c>
      <c r="F651" s="7">
        <v>51449.283000000003</v>
      </c>
      <c r="G651" s="7">
        <v>60396.985000000001</v>
      </c>
    </row>
    <row r="652" spans="1:7" hidden="1" x14ac:dyDescent="0.3">
      <c r="A652" s="5" t="s">
        <v>145</v>
      </c>
      <c r="B652" s="6">
        <v>37.913018000000001</v>
      </c>
      <c r="C652" s="6">
        <v>15.164999999999999</v>
      </c>
      <c r="D652" s="6">
        <v>22.748000000000001</v>
      </c>
      <c r="E652" s="6">
        <v>6908.9475389999998</v>
      </c>
      <c r="F652" s="7">
        <v>2763.5790000000002</v>
      </c>
      <c r="G652" s="7">
        <v>4145.3689999999997</v>
      </c>
    </row>
    <row r="653" spans="1:7" hidden="1" x14ac:dyDescent="0.3">
      <c r="A653" s="5" t="s">
        <v>146</v>
      </c>
      <c r="B653" s="6">
        <v>20.523018</v>
      </c>
      <c r="C653" s="6">
        <v>8.2089999999999996</v>
      </c>
      <c r="D653" s="6">
        <v>12.314</v>
      </c>
      <c r="E653" s="6">
        <v>0</v>
      </c>
      <c r="F653" s="6">
        <v>0</v>
      </c>
      <c r="G653" s="6">
        <v>0</v>
      </c>
    </row>
  </sheetData>
  <mergeCells count="298">
    <mergeCell ref="A637:G637"/>
    <mergeCell ref="A638:A639"/>
    <mergeCell ref="B638:D638"/>
    <mergeCell ref="E638:G638"/>
    <mergeCell ref="A12:N12"/>
    <mergeCell ref="A14:N14"/>
    <mergeCell ref="A42:N42"/>
    <mergeCell ref="A44:N44"/>
    <mergeCell ref="A604:L604"/>
    <mergeCell ref="A632:G632"/>
    <mergeCell ref="A633:G633"/>
    <mergeCell ref="A634:G634"/>
    <mergeCell ref="A635:G635"/>
    <mergeCell ref="A636:G636"/>
    <mergeCell ref="A598:L598"/>
    <mergeCell ref="A599:L599"/>
    <mergeCell ref="A600:L600"/>
    <mergeCell ref="A601:L601"/>
    <mergeCell ref="A602:L602"/>
    <mergeCell ref="A603:L603"/>
    <mergeCell ref="K560:K561"/>
    <mergeCell ref="C586:C587"/>
    <mergeCell ref="D586:D587"/>
    <mergeCell ref="E586:E587"/>
    <mergeCell ref="F586:F587"/>
    <mergeCell ref="G586:G587"/>
    <mergeCell ref="H586:H587"/>
    <mergeCell ref="I586:I587"/>
    <mergeCell ref="J586:J587"/>
    <mergeCell ref="K586:K587"/>
    <mergeCell ref="J555:J559"/>
    <mergeCell ref="K555:K559"/>
    <mergeCell ref="C560:C561"/>
    <mergeCell ref="D560:D561"/>
    <mergeCell ref="E560:E561"/>
    <mergeCell ref="F560:F561"/>
    <mergeCell ref="G560:G561"/>
    <mergeCell ref="H560:H561"/>
    <mergeCell ref="I560:I561"/>
    <mergeCell ref="J560:J561"/>
    <mergeCell ref="A543:L543"/>
    <mergeCell ref="A544:L544"/>
    <mergeCell ref="A545:L545"/>
    <mergeCell ref="C555:C559"/>
    <mergeCell ref="D555:D559"/>
    <mergeCell ref="E555:E559"/>
    <mergeCell ref="F555:F559"/>
    <mergeCell ref="G555:G559"/>
    <mergeCell ref="H555:H559"/>
    <mergeCell ref="I555:I559"/>
    <mergeCell ref="J527:J528"/>
    <mergeCell ref="K527:K528"/>
    <mergeCell ref="A539:L539"/>
    <mergeCell ref="A540:L540"/>
    <mergeCell ref="A541:L541"/>
    <mergeCell ref="A542:L542"/>
    <mergeCell ref="I508:I510"/>
    <mergeCell ref="J508:J510"/>
    <mergeCell ref="K508:K510"/>
    <mergeCell ref="C527:C528"/>
    <mergeCell ref="D527:D528"/>
    <mergeCell ref="E527:E528"/>
    <mergeCell ref="F527:F528"/>
    <mergeCell ref="G527:G528"/>
    <mergeCell ref="H527:H528"/>
    <mergeCell ref="I527:I528"/>
    <mergeCell ref="C508:C510"/>
    <mergeCell ref="D508:D510"/>
    <mergeCell ref="E508:E510"/>
    <mergeCell ref="F508:F510"/>
    <mergeCell ref="G508:G510"/>
    <mergeCell ref="H508:H510"/>
    <mergeCell ref="A492:L492"/>
    <mergeCell ref="C502:C507"/>
    <mergeCell ref="D502:D507"/>
    <mergeCell ref="E502:E507"/>
    <mergeCell ref="F502:F507"/>
    <mergeCell ref="G502:G507"/>
    <mergeCell ref="H502:H507"/>
    <mergeCell ref="I502:I507"/>
    <mergeCell ref="J502:J507"/>
    <mergeCell ref="K502:K507"/>
    <mergeCell ref="A487:L487"/>
    <mergeCell ref="A488:L488"/>
    <mergeCell ref="A489:L489"/>
    <mergeCell ref="A490:L490"/>
    <mergeCell ref="A491:L491"/>
    <mergeCell ref="K449:K451"/>
    <mergeCell ref="C474:C475"/>
    <mergeCell ref="D474:D475"/>
    <mergeCell ref="E474:E475"/>
    <mergeCell ref="F474:F475"/>
    <mergeCell ref="G474:G475"/>
    <mergeCell ref="H474:H475"/>
    <mergeCell ref="I474:I475"/>
    <mergeCell ref="J474:J475"/>
    <mergeCell ref="K474:K475"/>
    <mergeCell ref="C449:C451"/>
    <mergeCell ref="D449:D451"/>
    <mergeCell ref="E449:E451"/>
    <mergeCell ref="F449:F451"/>
    <mergeCell ref="G449:G451"/>
    <mergeCell ref="H449:H451"/>
    <mergeCell ref="I449:I451"/>
    <mergeCell ref="J449:J451"/>
    <mergeCell ref="A486:L486"/>
    <mergeCell ref="A431:L431"/>
    <mergeCell ref="A432:L432"/>
    <mergeCell ref="A433:L433"/>
    <mergeCell ref="C443:C448"/>
    <mergeCell ref="D443:D448"/>
    <mergeCell ref="E443:E448"/>
    <mergeCell ref="F443:F448"/>
    <mergeCell ref="G443:G448"/>
    <mergeCell ref="H443:H448"/>
    <mergeCell ref="I443:I448"/>
    <mergeCell ref="J443:J448"/>
    <mergeCell ref="K443:K448"/>
    <mergeCell ref="A428:L428"/>
    <mergeCell ref="A429:L429"/>
    <mergeCell ref="A430:L430"/>
    <mergeCell ref="I401:I403"/>
    <mergeCell ref="J401:J403"/>
    <mergeCell ref="K401:K403"/>
    <mergeCell ref="C416:C417"/>
    <mergeCell ref="D416:D417"/>
    <mergeCell ref="E416:E417"/>
    <mergeCell ref="F416:F417"/>
    <mergeCell ref="G416:G417"/>
    <mergeCell ref="H416:H417"/>
    <mergeCell ref="I416:I417"/>
    <mergeCell ref="C401:C403"/>
    <mergeCell ref="D401:D403"/>
    <mergeCell ref="E401:E403"/>
    <mergeCell ref="F401:F403"/>
    <mergeCell ref="G401:G403"/>
    <mergeCell ref="H401:H403"/>
    <mergeCell ref="J416:J417"/>
    <mergeCell ref="K416:K417"/>
    <mergeCell ref="A427:L427"/>
    <mergeCell ref="A382:L382"/>
    <mergeCell ref="A383:L383"/>
    <mergeCell ref="A384:L384"/>
    <mergeCell ref="A385:L385"/>
    <mergeCell ref="A386:L386"/>
    <mergeCell ref="C396:C400"/>
    <mergeCell ref="D396:D400"/>
    <mergeCell ref="E396:E400"/>
    <mergeCell ref="F396:F400"/>
    <mergeCell ref="G396:G400"/>
    <mergeCell ref="H396:H400"/>
    <mergeCell ref="I396:I400"/>
    <mergeCell ref="J396:J400"/>
    <mergeCell ref="K396:K400"/>
    <mergeCell ref="A351:L351"/>
    <mergeCell ref="A352:L352"/>
    <mergeCell ref="A353:L353"/>
    <mergeCell ref="A354:L354"/>
    <mergeCell ref="A380:L380"/>
    <mergeCell ref="A381:L381"/>
    <mergeCell ref="A317:L317"/>
    <mergeCell ref="A318:L318"/>
    <mergeCell ref="A319:L319"/>
    <mergeCell ref="A348:L348"/>
    <mergeCell ref="A349:L349"/>
    <mergeCell ref="A350:L350"/>
    <mergeCell ref="A290:L290"/>
    <mergeCell ref="A291:L291"/>
    <mergeCell ref="A313:L313"/>
    <mergeCell ref="A314:L314"/>
    <mergeCell ref="A315:L315"/>
    <mergeCell ref="A316:L316"/>
    <mergeCell ref="A257:L257"/>
    <mergeCell ref="A285:L285"/>
    <mergeCell ref="A286:L286"/>
    <mergeCell ref="A287:L287"/>
    <mergeCell ref="A288:L288"/>
    <mergeCell ref="A289:L289"/>
    <mergeCell ref="A251:L251"/>
    <mergeCell ref="A252:L252"/>
    <mergeCell ref="A253:L253"/>
    <mergeCell ref="A254:L254"/>
    <mergeCell ref="A255:L255"/>
    <mergeCell ref="A256:L256"/>
    <mergeCell ref="A211:L211"/>
    <mergeCell ref="A212:L212"/>
    <mergeCell ref="A213:L213"/>
    <mergeCell ref="A214:L214"/>
    <mergeCell ref="A215:L215"/>
    <mergeCell ref="A216:L216"/>
    <mergeCell ref="A188:L188"/>
    <mergeCell ref="A189:L189"/>
    <mergeCell ref="A190:L190"/>
    <mergeCell ref="A191:L191"/>
    <mergeCell ref="A192:L192"/>
    <mergeCell ref="A210:L210"/>
    <mergeCell ref="A165:L165"/>
    <mergeCell ref="A166:L166"/>
    <mergeCell ref="A167:L167"/>
    <mergeCell ref="A168:L168"/>
    <mergeCell ref="A186:L186"/>
    <mergeCell ref="A187:L187"/>
    <mergeCell ref="A134:L134"/>
    <mergeCell ref="A135:L135"/>
    <mergeCell ref="A136:L136"/>
    <mergeCell ref="A162:L162"/>
    <mergeCell ref="A163:L163"/>
    <mergeCell ref="A164:L164"/>
    <mergeCell ref="J118:J119"/>
    <mergeCell ref="K118:K119"/>
    <mergeCell ref="A130:L130"/>
    <mergeCell ref="A131:L131"/>
    <mergeCell ref="A132:L132"/>
    <mergeCell ref="A133:L133"/>
    <mergeCell ref="I93:I95"/>
    <mergeCell ref="J93:J95"/>
    <mergeCell ref="K93:K95"/>
    <mergeCell ref="C118:C119"/>
    <mergeCell ref="D118:D119"/>
    <mergeCell ref="E118:E119"/>
    <mergeCell ref="F118:F119"/>
    <mergeCell ref="G118:G119"/>
    <mergeCell ref="H118:H119"/>
    <mergeCell ref="I118:I119"/>
    <mergeCell ref="C93:C95"/>
    <mergeCell ref="D93:D95"/>
    <mergeCell ref="E93:E95"/>
    <mergeCell ref="F93:F95"/>
    <mergeCell ref="G93:G95"/>
    <mergeCell ref="H93:H95"/>
    <mergeCell ref="A76:L76"/>
    <mergeCell ref="C87:C92"/>
    <mergeCell ref="D87:D92"/>
    <mergeCell ref="E87:E92"/>
    <mergeCell ref="F87:F92"/>
    <mergeCell ref="G87:G92"/>
    <mergeCell ref="H87:H92"/>
    <mergeCell ref="I87:I92"/>
    <mergeCell ref="J87:J92"/>
    <mergeCell ref="K87:K92"/>
    <mergeCell ref="A70:L70"/>
    <mergeCell ref="A71:L71"/>
    <mergeCell ref="A72:L72"/>
    <mergeCell ref="A73:L73"/>
    <mergeCell ref="A74:L74"/>
    <mergeCell ref="A75:L75"/>
    <mergeCell ref="C50:D50"/>
    <mergeCell ref="E50:F50"/>
    <mergeCell ref="G50:H50"/>
    <mergeCell ref="I50:J50"/>
    <mergeCell ref="K50:L50"/>
    <mergeCell ref="M50:N50"/>
    <mergeCell ref="C49:D49"/>
    <mergeCell ref="E49:F49"/>
    <mergeCell ref="G49:H49"/>
    <mergeCell ref="I49:J49"/>
    <mergeCell ref="K49:L49"/>
    <mergeCell ref="M49:N49"/>
    <mergeCell ref="K46:L46"/>
    <mergeCell ref="M46:N46"/>
    <mergeCell ref="C48:D48"/>
    <mergeCell ref="E48:F48"/>
    <mergeCell ref="G48:H48"/>
    <mergeCell ref="I48:J48"/>
    <mergeCell ref="K48:L48"/>
    <mergeCell ref="M48:N48"/>
    <mergeCell ref="A46:A47"/>
    <mergeCell ref="B46:B47"/>
    <mergeCell ref="C46:D46"/>
    <mergeCell ref="E46:F46"/>
    <mergeCell ref="G46:H46"/>
    <mergeCell ref="I46:J46"/>
    <mergeCell ref="C20:D20"/>
    <mergeCell ref="E20:F20"/>
    <mergeCell ref="G20:H20"/>
    <mergeCell ref="I20:J20"/>
    <mergeCell ref="A16:A17"/>
    <mergeCell ref="B16:B17"/>
    <mergeCell ref="C16:D16"/>
    <mergeCell ref="E16:F16"/>
    <mergeCell ref="G16:H16"/>
    <mergeCell ref="I16:J16"/>
    <mergeCell ref="K20:L20"/>
    <mergeCell ref="M20:N20"/>
    <mergeCell ref="C19:D19"/>
    <mergeCell ref="E19:F19"/>
    <mergeCell ref="G19:H19"/>
    <mergeCell ref="I19:J19"/>
    <mergeCell ref="K19:L19"/>
    <mergeCell ref="M19:N19"/>
    <mergeCell ref="K16:L16"/>
    <mergeCell ref="M16:N16"/>
    <mergeCell ref="C18:D18"/>
    <mergeCell ref="E18:F18"/>
    <mergeCell ref="G18:H18"/>
    <mergeCell ref="I18:J18"/>
    <mergeCell ref="K18:L18"/>
    <mergeCell ref="M18:N18"/>
  </mergeCells>
  <pageMargins left="0.74803149606299213" right="0.74803149606299213" top="0.98425196850393704" bottom="0.98425196850393704" header="0.51181102362204722" footer="0.51181102362204722"/>
  <pageSetup scale="32" fitToHeight="0" orientation="portrait" r:id="rId1"/>
  <rowBreaks count="14" manualBreakCount="14">
    <brk id="40" max="13" man="1"/>
    <brk id="69" max="13" man="1"/>
    <brk id="128" max="13" man="1"/>
    <brk id="160" max="13" man="1"/>
    <brk id="208" max="13" man="1"/>
    <brk id="249" max="13" man="1"/>
    <brk id="283" max="13" man="1"/>
    <brk id="311" max="13" man="1"/>
    <brk id="346" max="13" man="1"/>
    <brk id="378" max="13" man="1"/>
    <brk id="425" max="13" man="1"/>
    <brk id="484" max="13" man="1"/>
    <brk id="537" max="13" man="1"/>
    <brk id="596" max="13" man="1"/>
  </rowBreaks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754380</xdr:colOff>
                <xdr:row>9</xdr:row>
                <xdr:rowOff>121920</xdr:rowOff>
              </to>
            </anchor>
          </controlPr>
        </control>
      </mc:Choice>
      <mc:Fallback>
        <control shapeId="2050" r:id="rId4" name="Control 2"/>
      </mc:Fallback>
    </mc:AlternateContent>
    <mc:AlternateContent xmlns:mc="http://schemas.openxmlformats.org/markup-compatibility/2006">
      <mc:Choice Requires="x14">
        <control shapeId="2049" r:id="rId6" name="Control 1">
          <controlPr defaultSize="0" r:id="rId7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1348740</xdr:colOff>
                <xdr:row>5</xdr:row>
                <xdr:rowOff>45720</xdr:rowOff>
              </to>
            </anchor>
          </controlPr>
        </control>
      </mc:Choice>
      <mc:Fallback>
        <control shapeId="2049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(17)</vt:lpstr>
      <vt:lpstr>'data (17)'!Print_Area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ERPC Kolkata</cp:lastModifiedBy>
  <cp:lastPrinted>2024-06-01T16:41:30Z</cp:lastPrinted>
  <dcterms:created xsi:type="dcterms:W3CDTF">2024-06-01T09:31:16Z</dcterms:created>
  <dcterms:modified xsi:type="dcterms:W3CDTF">2024-06-01T16:43:53Z</dcterms:modified>
</cp:coreProperties>
</file>